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240" yWindow="75" windowWidth="11385" windowHeight="6315"/>
  </bookViews>
  <sheets>
    <sheet name="Проверочная  таблица" sheetId="2" r:id="rId1"/>
    <sheet name="Прочая  субсидия_МР  и  ГО" sheetId="3" r:id="rId2"/>
    <sheet name="Прочая  субсидия_БП" sheetId="4" r:id="rId3"/>
    <sheet name="Субвенция  на  полномочия" sheetId="5" r:id="rId4"/>
    <sheet name="Район  и  поселения" sheetId="1" r:id="rId5"/>
    <sheet name="Федеральные  средства  по  МО" sheetId="6" r:id="rId6"/>
    <sheet name="Федеральные  средства" sheetId="7" r:id="rId7"/>
    <sheet name="МБТ  по  программам" sheetId="13" r:id="rId8"/>
    <sheet name="МБТ  по  видам  расходов" sheetId="15" r:id="rId9"/>
    <sheet name="Нераспределенная  дотация" sheetId="9" r:id="rId10"/>
    <sheet name="Субсидия" sheetId="8" r:id="rId11"/>
    <sheet name="субсидия  ВР 522" sheetId="16" r:id="rId12"/>
    <sheet name="Нераспределенная  субвенция" sheetId="18" r:id="rId13"/>
    <sheet name="Нераспределенные  иные  МБТ" sheetId="11" r:id="rId14"/>
    <sheet name="Федеральная  субсидия" sheetId="17" r:id="rId15"/>
  </sheets>
  <externalReferences>
    <externalReference r:id="rId16"/>
    <externalReference r:id="rId17"/>
  </externalReferences>
  <definedNames>
    <definedName name="_xlnm.Print_Titles" localSheetId="13">'Нераспределенные  иные  МБТ'!$7:$7</definedName>
    <definedName name="_xlnm.Print_Titles" localSheetId="0">'Проверочная  таблица'!$A:$A</definedName>
    <definedName name="_xlnm.Print_Titles" localSheetId="2">'Прочая  субсидия_БП'!$A:$A</definedName>
    <definedName name="_xlnm.Print_Titles" localSheetId="1">'Прочая  субсидия_МР  и  ГО'!$A:$A</definedName>
    <definedName name="_xlnm.Print_Titles" localSheetId="4">'Район  и  поселения'!$A:$A</definedName>
    <definedName name="_xlnm.Print_Titles" localSheetId="3">'Субвенция  на  полномочия'!$A:$A</definedName>
    <definedName name="_xlnm.Print_Titles" localSheetId="10">Субсидия!$7:$7</definedName>
    <definedName name="_xlnm.Print_Titles" localSheetId="11">'субсидия  ВР 522'!$5:$5</definedName>
    <definedName name="_xlnm.Print_Titles" localSheetId="14">'Федеральная  субсидия'!$A:$A</definedName>
    <definedName name="_xlnm.Print_Titles" localSheetId="6">'Федеральные  средства'!$6:$6</definedName>
    <definedName name="_xlnm.Print_Titles" localSheetId="5">'Федеральные  средства  по  МО'!$A:$A</definedName>
    <definedName name="_xlnm.Print_Area" localSheetId="8">'МБТ  по  видам  расходов'!$A$1:$E$27</definedName>
    <definedName name="_xlnm.Print_Area" localSheetId="7">'МБТ  по  программам'!$A$1:$I$21</definedName>
    <definedName name="_xlnm.Print_Area" localSheetId="9">'Нераспределенная  дотация'!$A$1:$E$22</definedName>
    <definedName name="_xlnm.Print_Area" localSheetId="12">'Нераспределенная  субвенция'!$A$1:$G$13</definedName>
    <definedName name="_xlnm.Print_Area" localSheetId="13">'Нераспределенные  иные  МБТ'!$A$1:$G$67</definedName>
    <definedName name="_xlnm.Print_Area" localSheetId="0">'Проверочная  таблица'!$A$1:$WL$39</definedName>
    <definedName name="_xlnm.Print_Area" localSheetId="2">'Прочая  субсидия_БП'!$A$1:$BI$26</definedName>
    <definedName name="_xlnm.Print_Area" localSheetId="1">'Прочая  субсидия_МР  и  ГО'!$A$1:$AQ$38</definedName>
    <definedName name="_xlnm.Print_Area" localSheetId="4">'Район  и  поселения'!$A$1:$BI$36</definedName>
    <definedName name="_xlnm.Print_Area" localSheetId="3">'Субвенция  на  полномочия'!$A$1:$AM$32</definedName>
    <definedName name="_xlnm.Print_Area" localSheetId="10">Субсидия!$A$1:$G$532</definedName>
    <definedName name="_xlnm.Print_Area" localSheetId="5">'Федеральные  средства  по  МО'!$A$1:$CW$38</definedName>
  </definedNames>
  <calcPr calcId="145621"/>
</workbook>
</file>

<file path=xl/calcChain.xml><?xml version="1.0" encoding="utf-8"?>
<calcChain xmlns="http://schemas.openxmlformats.org/spreadsheetml/2006/main">
  <c r="D51" i="8" l="1"/>
  <c r="D54" i="8"/>
  <c r="D27" i="5"/>
  <c r="D26" i="5"/>
  <c r="D9" i="5"/>
  <c r="D10" i="5"/>
  <c r="D11" i="5"/>
  <c r="D12" i="5"/>
  <c r="D13" i="5"/>
  <c r="D14" i="5"/>
  <c r="D15" i="5"/>
  <c r="D16" i="5"/>
  <c r="D17" i="5"/>
  <c r="D18" i="5"/>
  <c r="D19" i="5"/>
  <c r="D20" i="5"/>
  <c r="D21" i="5"/>
  <c r="D22" i="5"/>
  <c r="D23" i="5"/>
  <c r="D24" i="5"/>
  <c r="D25" i="5"/>
  <c r="D8" i="5"/>
  <c r="C8" i="5"/>
  <c r="C9" i="5"/>
  <c r="C10" i="5"/>
  <c r="C11" i="5"/>
  <c r="C12" i="5"/>
  <c r="C13" i="5"/>
  <c r="C14" i="5"/>
  <c r="C15" i="5"/>
  <c r="C16" i="5"/>
  <c r="C17" i="5"/>
  <c r="C18" i="5"/>
  <c r="C19" i="5"/>
  <c r="C20" i="5"/>
  <c r="C21" i="5"/>
  <c r="C22" i="5"/>
  <c r="C23" i="5"/>
  <c r="C24" i="5"/>
  <c r="C25" i="5"/>
  <c r="C26" i="5"/>
  <c r="C27" i="5"/>
  <c r="E32" i="5"/>
  <c r="D32" i="5"/>
  <c r="E31" i="5"/>
  <c r="E28" i="5"/>
  <c r="D31" i="5" l="1"/>
  <c r="D28" i="5"/>
  <c r="D474" i="8" l="1"/>
  <c r="D191" i="8"/>
  <c r="D224" i="8"/>
  <c r="E136" i="8"/>
  <c r="F136" i="8"/>
  <c r="D136" i="8"/>
  <c r="E115" i="8"/>
  <c r="F115" i="8"/>
  <c r="D115" i="8"/>
  <c r="F224" i="8"/>
  <c r="E205" i="8"/>
  <c r="F205" i="8"/>
  <c r="E206" i="8"/>
  <c r="F206" i="8"/>
  <c r="D205" i="8"/>
  <c r="D206" i="8"/>
  <c r="E195" i="8"/>
  <c r="F195" i="8"/>
  <c r="E196" i="8"/>
  <c r="F196" i="8"/>
  <c r="D195" i="8"/>
  <c r="D196" i="8"/>
  <c r="F488" i="8"/>
  <c r="E488" i="8"/>
  <c r="E486" i="8"/>
  <c r="PY40" i="2" l="1"/>
  <c r="AY25" i="4"/>
  <c r="AY24" i="4"/>
  <c r="AY23" i="4"/>
  <c r="AY22" i="4"/>
  <c r="AY21" i="4"/>
  <c r="AY20" i="4"/>
  <c r="AY19" i="4"/>
  <c r="AY18" i="4"/>
  <c r="AY17" i="4"/>
  <c r="AY16" i="4"/>
  <c r="AY15" i="4"/>
  <c r="AY14" i="4"/>
  <c r="AY13" i="4"/>
  <c r="AY12" i="4"/>
  <c r="AY11" i="4"/>
  <c r="AY10" i="4"/>
  <c r="AY9" i="4"/>
  <c r="AY8" i="4"/>
  <c r="AG25" i="4"/>
  <c r="AG20" i="4"/>
  <c r="AG19" i="4"/>
  <c r="AG18" i="4"/>
  <c r="AG17" i="4"/>
  <c r="AG16" i="4"/>
  <c r="AG15" i="4"/>
  <c r="AG14" i="4"/>
  <c r="AG12" i="4"/>
  <c r="AG11" i="4"/>
  <c r="AG10" i="4"/>
  <c r="AG9" i="4"/>
  <c r="AG8" i="4"/>
  <c r="RV33" i="2"/>
  <c r="KA34" i="2" l="1"/>
  <c r="KA29" i="2"/>
  <c r="KA28" i="2"/>
  <c r="KA27" i="2"/>
  <c r="KA26" i="2"/>
  <c r="KA25" i="2"/>
  <c r="KA24" i="2"/>
  <c r="KA23" i="2"/>
  <c r="KA22" i="2"/>
  <c r="KA21" i="2"/>
  <c r="KA20" i="2"/>
  <c r="KA19" i="2"/>
  <c r="KA18" i="2"/>
  <c r="KA17" i="2"/>
  <c r="KA16" i="2"/>
  <c r="KA15" i="2"/>
  <c r="KA14" i="2"/>
  <c r="KA13" i="2"/>
  <c r="KA12" i="2"/>
  <c r="JV34" i="2"/>
  <c r="KJ13" i="2"/>
  <c r="KJ14" i="2"/>
  <c r="KJ15" i="2"/>
  <c r="KJ16" i="2"/>
  <c r="KJ17" i="2"/>
  <c r="KJ18" i="2"/>
  <c r="KJ19" i="2"/>
  <c r="KJ20" i="2"/>
  <c r="KJ21" i="2"/>
  <c r="KJ22" i="2"/>
  <c r="KJ23" i="2"/>
  <c r="KJ24" i="2"/>
  <c r="KJ25" i="2"/>
  <c r="KJ26" i="2"/>
  <c r="KJ27" i="2"/>
  <c r="KJ28" i="2"/>
  <c r="KJ29" i="2"/>
  <c r="KJ12" i="2"/>
  <c r="KK34" i="2"/>
  <c r="KK30" i="2"/>
  <c r="KF34" i="2"/>
  <c r="KF30" i="2"/>
  <c r="JP29" i="2"/>
  <c r="JP28" i="2"/>
  <c r="JP27" i="2"/>
  <c r="JP26" i="2"/>
  <c r="JP25" i="2"/>
  <c r="JP24" i="2"/>
  <c r="JP23" i="2"/>
  <c r="JP22" i="2"/>
  <c r="JP21" i="2"/>
  <c r="JP20" i="2"/>
  <c r="JP19" i="2"/>
  <c r="JP18" i="2"/>
  <c r="JP17" i="2"/>
  <c r="JP16" i="2"/>
  <c r="JP15" i="2"/>
  <c r="JP14" i="2"/>
  <c r="JP13" i="2"/>
  <c r="JP12" i="2"/>
  <c r="JA33" i="2"/>
  <c r="JA32" i="2"/>
  <c r="IS33" i="2"/>
  <c r="IR33" i="2"/>
  <c r="IS32" i="2"/>
  <c r="IR32" i="2"/>
  <c r="IR13" i="2"/>
  <c r="IS13" i="2"/>
  <c r="IR14" i="2"/>
  <c r="IS14" i="2"/>
  <c r="IR15" i="2"/>
  <c r="IS15" i="2"/>
  <c r="IR16" i="2"/>
  <c r="IS16" i="2"/>
  <c r="IR17" i="2"/>
  <c r="IS17" i="2"/>
  <c r="IR18" i="2"/>
  <c r="IS18" i="2"/>
  <c r="IR19" i="2"/>
  <c r="IS19" i="2"/>
  <c r="IR20" i="2"/>
  <c r="IS20" i="2"/>
  <c r="IR21" i="2"/>
  <c r="IS21" i="2"/>
  <c r="IR22" i="2"/>
  <c r="IS22" i="2"/>
  <c r="IR23" i="2"/>
  <c r="IS23" i="2"/>
  <c r="IR24" i="2"/>
  <c r="IS24" i="2"/>
  <c r="IR25" i="2"/>
  <c r="IS25" i="2"/>
  <c r="IR26" i="2"/>
  <c r="IS26" i="2"/>
  <c r="IR27" i="2"/>
  <c r="IS27" i="2"/>
  <c r="IR28" i="2"/>
  <c r="IS28" i="2"/>
  <c r="IR29" i="2"/>
  <c r="IS29" i="2"/>
  <c r="IS12" i="2"/>
  <c r="IR12" i="2"/>
  <c r="JM33" i="2"/>
  <c r="JL33" i="2"/>
  <c r="JM32" i="2"/>
  <c r="JL32" i="2"/>
  <c r="JL13" i="2"/>
  <c r="JV13" i="2" s="1"/>
  <c r="JM13" i="2"/>
  <c r="JL14" i="2"/>
  <c r="JV14" i="2" s="1"/>
  <c r="JM14" i="2"/>
  <c r="JL15" i="2"/>
  <c r="JV15" i="2" s="1"/>
  <c r="JM15" i="2"/>
  <c r="JL16" i="2"/>
  <c r="JV16" i="2" s="1"/>
  <c r="JM16" i="2"/>
  <c r="JL17" i="2"/>
  <c r="JV17" i="2" s="1"/>
  <c r="JM17" i="2"/>
  <c r="JL18" i="2"/>
  <c r="JV18" i="2" s="1"/>
  <c r="JM18" i="2"/>
  <c r="JL19" i="2"/>
  <c r="JV19" i="2" s="1"/>
  <c r="JM19" i="2"/>
  <c r="JL20" i="2"/>
  <c r="JV20" i="2" s="1"/>
  <c r="JM20" i="2"/>
  <c r="JL21" i="2"/>
  <c r="JV21" i="2" s="1"/>
  <c r="JM21" i="2"/>
  <c r="JL22" i="2"/>
  <c r="JV22" i="2" s="1"/>
  <c r="JM22" i="2"/>
  <c r="JL23" i="2"/>
  <c r="JV23" i="2" s="1"/>
  <c r="JM23" i="2"/>
  <c r="JL24" i="2"/>
  <c r="JV24" i="2" s="1"/>
  <c r="JM24" i="2"/>
  <c r="JL25" i="2"/>
  <c r="JV25" i="2" s="1"/>
  <c r="JM25" i="2"/>
  <c r="JL26" i="2"/>
  <c r="JV26" i="2" s="1"/>
  <c r="JM26" i="2"/>
  <c r="JL27" i="2"/>
  <c r="JV27" i="2" s="1"/>
  <c r="JM27" i="2"/>
  <c r="JL28" i="2"/>
  <c r="JV28" i="2" s="1"/>
  <c r="JM28" i="2"/>
  <c r="JL29" i="2"/>
  <c r="JV29" i="2" s="1"/>
  <c r="JM29" i="2"/>
  <c r="JM12" i="2"/>
  <c r="JL12" i="2"/>
  <c r="JQ34" i="2"/>
  <c r="JQ30" i="2"/>
  <c r="JB34" i="2"/>
  <c r="JB30" i="2"/>
  <c r="CM32" i="6"/>
  <c r="CM31" i="6"/>
  <c r="CM12" i="6"/>
  <c r="CM13" i="6"/>
  <c r="CM14" i="6"/>
  <c r="CM15" i="6"/>
  <c r="CM16" i="6"/>
  <c r="CM17" i="6"/>
  <c r="CM18" i="6"/>
  <c r="CM19" i="6"/>
  <c r="CM20" i="6"/>
  <c r="CM21" i="6"/>
  <c r="CM22" i="6"/>
  <c r="CM23" i="6"/>
  <c r="CM24" i="6"/>
  <c r="CM25" i="6"/>
  <c r="CM26" i="6"/>
  <c r="CM27" i="6"/>
  <c r="CM28" i="6"/>
  <c r="CM11" i="6"/>
  <c r="JA34" i="2" l="1"/>
  <c r="KF37" i="2"/>
  <c r="JQ37" i="2"/>
  <c r="KK37" i="2"/>
  <c r="KA30" i="2"/>
  <c r="KA37" i="2" s="1"/>
  <c r="JL30" i="2"/>
  <c r="IR30" i="2"/>
  <c r="JV12" i="2"/>
  <c r="JV30" i="2" s="1"/>
  <c r="JV37" i="2" s="1"/>
  <c r="JL34" i="2"/>
  <c r="IR34" i="2"/>
  <c r="JB37" i="2"/>
  <c r="JB38" i="2" s="1"/>
  <c r="F345" i="8" s="1"/>
  <c r="JL37" i="2" l="1"/>
  <c r="IR37" i="2"/>
  <c r="IR38" i="2" s="1"/>
  <c r="E345" i="8" s="1"/>
  <c r="SV33" i="2"/>
  <c r="SV32" i="2"/>
  <c r="SV13" i="2"/>
  <c r="SV14" i="2"/>
  <c r="SV15" i="2"/>
  <c r="SV16" i="2"/>
  <c r="SV17" i="2"/>
  <c r="SV18" i="2"/>
  <c r="SV19" i="2"/>
  <c r="SV20" i="2"/>
  <c r="SV21" i="2"/>
  <c r="SV22" i="2"/>
  <c r="SV23" i="2"/>
  <c r="SV24" i="2"/>
  <c r="SV25" i="2"/>
  <c r="SV26" i="2"/>
  <c r="SV27" i="2"/>
  <c r="SV28" i="2"/>
  <c r="SV29" i="2"/>
  <c r="SV12" i="2"/>
  <c r="SU33" i="2"/>
  <c r="SU32" i="2"/>
  <c r="SU13" i="2"/>
  <c r="SU14" i="2"/>
  <c r="SU15" i="2"/>
  <c r="SU16" i="2"/>
  <c r="SU17" i="2"/>
  <c r="SU18" i="2"/>
  <c r="SU19" i="2"/>
  <c r="SU20" i="2"/>
  <c r="SU21" i="2"/>
  <c r="SU22" i="2"/>
  <c r="SU23" i="2"/>
  <c r="SU24" i="2"/>
  <c r="SU25" i="2"/>
  <c r="SU26" i="2"/>
  <c r="SU27" i="2"/>
  <c r="SU28" i="2"/>
  <c r="SU29" i="2"/>
  <c r="SU12" i="2"/>
  <c r="SX34" i="2"/>
  <c r="SX30" i="2"/>
  <c r="CM33" i="6"/>
  <c r="J17" i="11"/>
  <c r="I17" i="11"/>
  <c r="H17" i="11"/>
  <c r="G17" i="11"/>
  <c r="SX37" i="2" l="1"/>
  <c r="CL27" i="6"/>
  <c r="CL23" i="6"/>
  <c r="CL19" i="6"/>
  <c r="CL15" i="6"/>
  <c r="SU34" i="2"/>
  <c r="CL31" i="6"/>
  <c r="CL28" i="6"/>
  <c r="CL24" i="6"/>
  <c r="CL20" i="6"/>
  <c r="CL16" i="6"/>
  <c r="CL12" i="6"/>
  <c r="CL11" i="6"/>
  <c r="CL25" i="6"/>
  <c r="CL21" i="6"/>
  <c r="CL17" i="6"/>
  <c r="SU30" i="2"/>
  <c r="CL13" i="6"/>
  <c r="CL26" i="6"/>
  <c r="CL22" i="6"/>
  <c r="CL18" i="6"/>
  <c r="CL14" i="6"/>
  <c r="CL32" i="6"/>
  <c r="T31" i="17"/>
  <c r="P31" i="17"/>
  <c r="T30" i="17"/>
  <c r="P30" i="17"/>
  <c r="FT11" i="17"/>
  <c r="FV11" i="17"/>
  <c r="FX11" i="17"/>
  <c r="FT12" i="17"/>
  <c r="FV12" i="17"/>
  <c r="FX12" i="17"/>
  <c r="FT13" i="17"/>
  <c r="FV13" i="17"/>
  <c r="FX13" i="17"/>
  <c r="FT14" i="17"/>
  <c r="FV14" i="17"/>
  <c r="FX14" i="17"/>
  <c r="FT15" i="17"/>
  <c r="FV15" i="17"/>
  <c r="FX15" i="17"/>
  <c r="FT16" i="17"/>
  <c r="FV16" i="17"/>
  <c r="FX16" i="17"/>
  <c r="FT17" i="17"/>
  <c r="FV17" i="17"/>
  <c r="FX17" i="17"/>
  <c r="FT18" i="17"/>
  <c r="FV18" i="17"/>
  <c r="FX18" i="17"/>
  <c r="FT19" i="17"/>
  <c r="FV19" i="17"/>
  <c r="FX19" i="17"/>
  <c r="FT20" i="17"/>
  <c r="FV20" i="17"/>
  <c r="FX20" i="17"/>
  <c r="FT21" i="17"/>
  <c r="FV21" i="17"/>
  <c r="FX21" i="17"/>
  <c r="FT22" i="17"/>
  <c r="FV22" i="17"/>
  <c r="FX22" i="17"/>
  <c r="FT23" i="17"/>
  <c r="FV23" i="17"/>
  <c r="FX23" i="17"/>
  <c r="FT24" i="17"/>
  <c r="FV24" i="17"/>
  <c r="FX24" i="17"/>
  <c r="FT25" i="17"/>
  <c r="FV25" i="17"/>
  <c r="FX25" i="17"/>
  <c r="FT26" i="17"/>
  <c r="FV26" i="17"/>
  <c r="FX26" i="17"/>
  <c r="FT27" i="17"/>
  <c r="FV27" i="17"/>
  <c r="FX27" i="17"/>
  <c r="FX10" i="17"/>
  <c r="FT10" i="17"/>
  <c r="FV10" i="17"/>
  <c r="C58" i="7" l="1"/>
  <c r="F18" i="11"/>
  <c r="SU37" i="2"/>
  <c r="E18" i="11" s="1"/>
  <c r="CL33" i="6"/>
  <c r="CL29" i="6"/>
  <c r="FX32" i="17"/>
  <c r="FW32" i="17"/>
  <c r="FT32" i="17"/>
  <c r="FS32" i="17"/>
  <c r="FX28" i="17"/>
  <c r="FX35" i="17" s="1"/>
  <c r="FT28" i="17"/>
  <c r="FV28" i="17"/>
  <c r="KB34" i="2"/>
  <c r="KB29" i="2"/>
  <c r="KB28" i="2"/>
  <c r="KB27" i="2"/>
  <c r="KB26" i="2"/>
  <c r="KB25" i="2"/>
  <c r="KB24" i="2"/>
  <c r="KB23" i="2"/>
  <c r="KB22" i="2"/>
  <c r="KB21" i="2"/>
  <c r="KB20" i="2"/>
  <c r="KB19" i="2"/>
  <c r="KB18" i="2"/>
  <c r="KB17" i="2"/>
  <c r="KB16" i="2"/>
  <c r="KB15" i="2"/>
  <c r="KB14" i="2"/>
  <c r="KB13" i="2"/>
  <c r="KB12" i="2"/>
  <c r="JW34" i="2"/>
  <c r="KL34" i="2"/>
  <c r="KL30" i="2"/>
  <c r="KL37" i="2" s="1"/>
  <c r="KG34" i="2"/>
  <c r="KG30" i="2"/>
  <c r="AU32" i="6"/>
  <c r="FU31" i="17" s="1"/>
  <c r="FV31" i="17" s="1"/>
  <c r="AU31" i="6"/>
  <c r="FU30" i="17" s="1"/>
  <c r="FV30" i="17" s="1"/>
  <c r="AU12" i="6"/>
  <c r="FU11" i="17" s="1"/>
  <c r="AU13" i="6"/>
  <c r="FU12" i="17" s="1"/>
  <c r="AU14" i="6"/>
  <c r="FU13" i="17" s="1"/>
  <c r="AU15" i="6"/>
  <c r="FU14" i="17" s="1"/>
  <c r="AU16" i="6"/>
  <c r="FU15" i="17" s="1"/>
  <c r="AU17" i="6"/>
  <c r="FU16" i="17" s="1"/>
  <c r="AU18" i="6"/>
  <c r="FU17" i="17" s="1"/>
  <c r="AU19" i="6"/>
  <c r="FU18" i="17" s="1"/>
  <c r="AU20" i="6"/>
  <c r="FU19" i="17" s="1"/>
  <c r="AU21" i="6"/>
  <c r="FU20" i="17" s="1"/>
  <c r="AU22" i="6"/>
  <c r="FU21" i="17" s="1"/>
  <c r="AU23" i="6"/>
  <c r="FU22" i="17" s="1"/>
  <c r="AU24" i="6"/>
  <c r="FU23" i="17" s="1"/>
  <c r="AU25" i="6"/>
  <c r="FU24" i="17" s="1"/>
  <c r="AU26" i="6"/>
  <c r="FU25" i="17" s="1"/>
  <c r="AU27" i="6"/>
  <c r="FU26" i="17" s="1"/>
  <c r="AU28" i="6"/>
  <c r="FU27" i="17" s="1"/>
  <c r="AU11" i="6"/>
  <c r="FU10" i="17" s="1"/>
  <c r="JW13" i="2"/>
  <c r="JW14" i="2"/>
  <c r="JW15" i="2"/>
  <c r="JW16" i="2"/>
  <c r="JW17" i="2"/>
  <c r="JW18" i="2"/>
  <c r="JW19" i="2"/>
  <c r="JW20" i="2"/>
  <c r="JW21" i="2"/>
  <c r="JW22" i="2"/>
  <c r="JW23" i="2"/>
  <c r="JW24" i="2"/>
  <c r="JW25" i="2"/>
  <c r="JW26" i="2"/>
  <c r="JW27" i="2"/>
  <c r="JW28" i="2"/>
  <c r="JW29" i="2"/>
  <c r="JW12" i="2"/>
  <c r="JM34" i="2"/>
  <c r="JR34" i="2"/>
  <c r="JR30" i="2"/>
  <c r="AT31" i="6"/>
  <c r="FQ30" i="17" s="1"/>
  <c r="FR11" i="17"/>
  <c r="FR14" i="17"/>
  <c r="FR15" i="17"/>
  <c r="FR18" i="17"/>
  <c r="FR19" i="17"/>
  <c r="FR22" i="17"/>
  <c r="FR23" i="17"/>
  <c r="FR26" i="17"/>
  <c r="FR27" i="17"/>
  <c r="JC34" i="2"/>
  <c r="JC30" i="2"/>
  <c r="H350" i="8"/>
  <c r="G350" i="8"/>
  <c r="I350" i="8" s="1"/>
  <c r="D349" i="8"/>
  <c r="FT35" i="17" l="1"/>
  <c r="KG37" i="2"/>
  <c r="JR37" i="2"/>
  <c r="FW15" i="17"/>
  <c r="FW27" i="17"/>
  <c r="FW10" i="17"/>
  <c r="FW14" i="17"/>
  <c r="FW18" i="17"/>
  <c r="FW22" i="17"/>
  <c r="FW26" i="17"/>
  <c r="FW23" i="17"/>
  <c r="FW19" i="17"/>
  <c r="FW12" i="17"/>
  <c r="FW16" i="17"/>
  <c r="FW20" i="17"/>
  <c r="FW24" i="17"/>
  <c r="JC37" i="2"/>
  <c r="B58" i="7"/>
  <c r="CL36" i="6"/>
  <c r="H18" i="11"/>
  <c r="G18" i="11"/>
  <c r="I18" i="11" s="1"/>
  <c r="FW13" i="17"/>
  <c r="FW17" i="17"/>
  <c r="FW21" i="17"/>
  <c r="FW25" i="17"/>
  <c r="FV32" i="17"/>
  <c r="FV35" i="17" s="1"/>
  <c r="AU33" i="6"/>
  <c r="KB30" i="2"/>
  <c r="KB37" i="2" s="1"/>
  <c r="FW11" i="17"/>
  <c r="FS23" i="17"/>
  <c r="JW30" i="2"/>
  <c r="JW37" i="2" s="1"/>
  <c r="FS11" i="17"/>
  <c r="FS10" i="17"/>
  <c r="FS27" i="17"/>
  <c r="FS15" i="17"/>
  <c r="FS25" i="17"/>
  <c r="FS21" i="17"/>
  <c r="FS17" i="17"/>
  <c r="FS13" i="17"/>
  <c r="FS19" i="17"/>
  <c r="FS26" i="17"/>
  <c r="FS22" i="17"/>
  <c r="FS18" i="17"/>
  <c r="FS14" i="17"/>
  <c r="FS24" i="17"/>
  <c r="FS12" i="17"/>
  <c r="FS16" i="17"/>
  <c r="AT11" i="6"/>
  <c r="FQ10" i="17" s="1"/>
  <c r="FR10" i="17"/>
  <c r="AT25" i="6"/>
  <c r="FQ24" i="17" s="1"/>
  <c r="FR24" i="17"/>
  <c r="AT21" i="6"/>
  <c r="FQ20" i="17" s="1"/>
  <c r="FR20" i="17"/>
  <c r="AT17" i="6"/>
  <c r="FQ16" i="17" s="1"/>
  <c r="FR16" i="17"/>
  <c r="AT13" i="6"/>
  <c r="FQ12" i="17" s="1"/>
  <c r="FR12" i="17"/>
  <c r="FS20" i="17"/>
  <c r="AT26" i="6"/>
  <c r="FQ25" i="17" s="1"/>
  <c r="FR25" i="17"/>
  <c r="AT22" i="6"/>
  <c r="FQ21" i="17" s="1"/>
  <c r="FR21" i="17"/>
  <c r="AT18" i="6"/>
  <c r="FQ17" i="17" s="1"/>
  <c r="FR17" i="17"/>
  <c r="AT14" i="6"/>
  <c r="FQ13" i="17" s="1"/>
  <c r="FR13" i="17"/>
  <c r="FR30" i="17"/>
  <c r="FU28" i="17"/>
  <c r="FU32" i="17"/>
  <c r="AT27" i="6"/>
  <c r="FQ26" i="17" s="1"/>
  <c r="AT23" i="6"/>
  <c r="FQ22" i="17" s="1"/>
  <c r="AT19" i="6"/>
  <c r="AT15" i="6"/>
  <c r="FQ14" i="17" s="1"/>
  <c r="AT28" i="6"/>
  <c r="FQ27" i="17" s="1"/>
  <c r="AT24" i="6"/>
  <c r="FQ23" i="17" s="1"/>
  <c r="AT20" i="6"/>
  <c r="FQ19" i="17" s="1"/>
  <c r="AT16" i="6"/>
  <c r="FQ15" i="17" s="1"/>
  <c r="AT12" i="6"/>
  <c r="FQ11" i="17" s="1"/>
  <c r="AT32" i="6"/>
  <c r="AU29" i="6"/>
  <c r="JM30" i="2"/>
  <c r="JM37" i="2" s="1"/>
  <c r="IS34" i="2"/>
  <c r="IS30" i="2"/>
  <c r="JC38" i="2" l="1"/>
  <c r="F348" i="8" s="1"/>
  <c r="F349" i="8" s="1"/>
  <c r="AU36" i="6"/>
  <c r="FR28" i="17"/>
  <c r="FW28" i="17"/>
  <c r="FW35" i="17" s="1"/>
  <c r="FU35" i="17"/>
  <c r="FS28" i="17"/>
  <c r="FS35" i="17" s="1"/>
  <c r="AT33" i="6"/>
  <c r="FQ31" i="17"/>
  <c r="AT29" i="6"/>
  <c r="FQ18" i="17"/>
  <c r="FQ28" i="17" s="1"/>
  <c r="IS37" i="2"/>
  <c r="IS38" i="2" s="1"/>
  <c r="J42" i="11"/>
  <c r="G42" i="11"/>
  <c r="I42" i="11" s="1"/>
  <c r="H42" i="11"/>
  <c r="CU32" i="6"/>
  <c r="CU31" i="6"/>
  <c r="CU12" i="6"/>
  <c r="CU13" i="6"/>
  <c r="CU14" i="6"/>
  <c r="CU15" i="6"/>
  <c r="CU16" i="6"/>
  <c r="CU17" i="6"/>
  <c r="CU18" i="6"/>
  <c r="CU19" i="6"/>
  <c r="CU20" i="6"/>
  <c r="CU21" i="6"/>
  <c r="CU22" i="6"/>
  <c r="CU23" i="6"/>
  <c r="CU24" i="6"/>
  <c r="CU25" i="6"/>
  <c r="CU26" i="6"/>
  <c r="CU27" i="6"/>
  <c r="CU28" i="6"/>
  <c r="CU11" i="6"/>
  <c r="UJ33" i="2"/>
  <c r="UJ32" i="2"/>
  <c r="UJ13" i="2"/>
  <c r="UJ14" i="2"/>
  <c r="UJ15" i="2"/>
  <c r="UJ16" i="2"/>
  <c r="UJ17" i="2"/>
  <c r="UJ18" i="2"/>
  <c r="UJ19" i="2"/>
  <c r="UJ20" i="2"/>
  <c r="UJ21" i="2"/>
  <c r="UJ22" i="2"/>
  <c r="UJ23" i="2"/>
  <c r="UJ24" i="2"/>
  <c r="UJ25" i="2"/>
  <c r="UJ26" i="2"/>
  <c r="UJ27" i="2"/>
  <c r="UJ28" i="2"/>
  <c r="UJ29" i="2"/>
  <c r="UJ12" i="2"/>
  <c r="UK33" i="2"/>
  <c r="UK32" i="2"/>
  <c r="UK13" i="2"/>
  <c r="UK14" i="2"/>
  <c r="UK16" i="2"/>
  <c r="UK17" i="2"/>
  <c r="UK18" i="2"/>
  <c r="UK19" i="2"/>
  <c r="UK20" i="2"/>
  <c r="UK21" i="2"/>
  <c r="UK22" i="2"/>
  <c r="UK23" i="2"/>
  <c r="UK24" i="2"/>
  <c r="UK25" i="2"/>
  <c r="UK26" i="2"/>
  <c r="UK27" i="2"/>
  <c r="UK28" i="2"/>
  <c r="UK29" i="2"/>
  <c r="UK12" i="2"/>
  <c r="UN30" i="2"/>
  <c r="UN37" i="2" s="1"/>
  <c r="UN34" i="2"/>
  <c r="CT28" i="6" l="1"/>
  <c r="CT24" i="6"/>
  <c r="CT20" i="6"/>
  <c r="CT16" i="6"/>
  <c r="CT12" i="6"/>
  <c r="CT31" i="6"/>
  <c r="C23" i="7"/>
  <c r="FU36" i="17"/>
  <c r="AT36" i="6"/>
  <c r="FR31" i="17"/>
  <c r="FR32" i="17" s="1"/>
  <c r="FR35" i="17" s="1"/>
  <c r="FQ32" i="17"/>
  <c r="FQ35" i="17" s="1"/>
  <c r="B23" i="7"/>
  <c r="E348" i="8"/>
  <c r="CU33" i="6"/>
  <c r="F43" i="11"/>
  <c r="C55" i="7"/>
  <c r="UJ34" i="2"/>
  <c r="CT11" i="6"/>
  <c r="CU29" i="6"/>
  <c r="CT27" i="6"/>
  <c r="CT25" i="6"/>
  <c r="CT23" i="6"/>
  <c r="CT21" i="6"/>
  <c r="CT19" i="6"/>
  <c r="CT17" i="6"/>
  <c r="CT15" i="6"/>
  <c r="CT13" i="6"/>
  <c r="CT26" i="6"/>
  <c r="CT22" i="6"/>
  <c r="CT18" i="6"/>
  <c r="CT14" i="6"/>
  <c r="CT32" i="6"/>
  <c r="UJ30" i="2"/>
  <c r="CT33" i="6" l="1"/>
  <c r="FQ36" i="17"/>
  <c r="CU36" i="6"/>
  <c r="E349" i="8"/>
  <c r="H349" i="8" s="1"/>
  <c r="G348" i="8"/>
  <c r="H348" i="8"/>
  <c r="UJ37" i="2"/>
  <c r="E43" i="11" s="1"/>
  <c r="CT29" i="6"/>
  <c r="CT36" i="6" l="1"/>
  <c r="G349" i="8"/>
  <c r="I349" i="8" s="1"/>
  <c r="I348" i="8"/>
  <c r="B55" i="7"/>
  <c r="G43" i="11"/>
  <c r="H43" i="11"/>
  <c r="I43" i="11" l="1"/>
  <c r="JO31" i="17"/>
  <c r="JN31" i="17"/>
  <c r="JK31" i="17"/>
  <c r="JJ31" i="17"/>
  <c r="JO30" i="17"/>
  <c r="JO32" i="17" s="1"/>
  <c r="JN30" i="17"/>
  <c r="JK30" i="17"/>
  <c r="JK32" i="17" s="1"/>
  <c r="JJ30" i="17"/>
  <c r="JN11" i="17"/>
  <c r="JN12" i="17"/>
  <c r="JN13" i="17"/>
  <c r="JN14" i="17"/>
  <c r="JN15" i="17"/>
  <c r="JN16" i="17"/>
  <c r="JN17" i="17"/>
  <c r="JN18" i="17"/>
  <c r="JN19" i="17"/>
  <c r="JN20" i="17"/>
  <c r="JN21" i="17"/>
  <c r="JN22" i="17"/>
  <c r="JN23" i="17"/>
  <c r="JN24" i="17"/>
  <c r="JN25" i="17"/>
  <c r="JN26" i="17"/>
  <c r="JN27" i="17"/>
  <c r="JN10" i="17"/>
  <c r="P32" i="17"/>
  <c r="JP32" i="17"/>
  <c r="JL32" i="17"/>
  <c r="JP28" i="17"/>
  <c r="JL28" i="17"/>
  <c r="JL35" i="17" s="1"/>
  <c r="IB32" i="17"/>
  <c r="HX32" i="17"/>
  <c r="HZ32" i="17"/>
  <c r="IB28" i="17"/>
  <c r="HZ28" i="17"/>
  <c r="HZ35" i="17" s="1"/>
  <c r="HX28" i="17"/>
  <c r="HV28" i="17"/>
  <c r="AG32" i="6"/>
  <c r="HY31" i="17" s="1"/>
  <c r="IA31" i="17" s="1"/>
  <c r="AF32" i="6"/>
  <c r="HU31" i="17" s="1"/>
  <c r="HW31" i="17" s="1"/>
  <c r="AG31" i="6"/>
  <c r="HY30" i="17" s="1"/>
  <c r="IA30" i="17" s="1"/>
  <c r="AF31" i="6"/>
  <c r="HU30" i="17" s="1"/>
  <c r="HW30" i="17" s="1"/>
  <c r="AG12" i="6"/>
  <c r="HY11" i="17" s="1"/>
  <c r="IA11" i="17" s="1"/>
  <c r="AG13" i="6"/>
  <c r="HY12" i="17" s="1"/>
  <c r="IA12" i="17" s="1"/>
  <c r="AG14" i="6"/>
  <c r="HY13" i="17" s="1"/>
  <c r="IA13" i="17" s="1"/>
  <c r="AG15" i="6"/>
  <c r="HY14" i="17" s="1"/>
  <c r="IA14" i="17" s="1"/>
  <c r="AG16" i="6"/>
  <c r="HY15" i="17" s="1"/>
  <c r="IA15" i="17" s="1"/>
  <c r="AG17" i="6"/>
  <c r="HY16" i="17" s="1"/>
  <c r="IA16" i="17" s="1"/>
  <c r="AG18" i="6"/>
  <c r="HY17" i="17" s="1"/>
  <c r="IA17" i="17" s="1"/>
  <c r="AG19" i="6"/>
  <c r="HY18" i="17" s="1"/>
  <c r="IA18" i="17" s="1"/>
  <c r="AG20" i="6"/>
  <c r="HY19" i="17" s="1"/>
  <c r="IA19" i="17" s="1"/>
  <c r="AG21" i="6"/>
  <c r="HY20" i="17" s="1"/>
  <c r="IA20" i="17" s="1"/>
  <c r="AG22" i="6"/>
  <c r="HY21" i="17" s="1"/>
  <c r="IA21" i="17" s="1"/>
  <c r="AG23" i="6"/>
  <c r="HY22" i="17" s="1"/>
  <c r="IA22" i="17" s="1"/>
  <c r="AG24" i="6"/>
  <c r="HY23" i="17" s="1"/>
  <c r="IA23" i="17" s="1"/>
  <c r="AG25" i="6"/>
  <c r="HY24" i="17" s="1"/>
  <c r="IA24" i="17" s="1"/>
  <c r="AG26" i="6"/>
  <c r="HY25" i="17" s="1"/>
  <c r="IA25" i="17" s="1"/>
  <c r="AG27" i="6"/>
  <c r="HY26" i="17" s="1"/>
  <c r="IA26" i="17" s="1"/>
  <c r="AG28" i="6"/>
  <c r="HY27" i="17" s="1"/>
  <c r="IA27" i="17" s="1"/>
  <c r="AG11" i="6"/>
  <c r="HY10" i="17" s="1"/>
  <c r="IA10" i="17" s="1"/>
  <c r="MJ13" i="2"/>
  <c r="MK13" i="2"/>
  <c r="AF12" i="6" s="1"/>
  <c r="HU11" i="17" s="1"/>
  <c r="HW11" i="17" s="1"/>
  <c r="MJ14" i="2"/>
  <c r="MK14" i="2"/>
  <c r="AF13" i="6" s="1"/>
  <c r="HU12" i="17" s="1"/>
  <c r="HW12" i="17" s="1"/>
  <c r="MJ15" i="2"/>
  <c r="MK15" i="2"/>
  <c r="AF14" i="6" s="1"/>
  <c r="HU13" i="17" s="1"/>
  <c r="HW13" i="17" s="1"/>
  <c r="MJ16" i="2"/>
  <c r="MK16" i="2"/>
  <c r="AF15" i="6" s="1"/>
  <c r="HU14" i="17" s="1"/>
  <c r="HW14" i="17" s="1"/>
  <c r="MJ17" i="2"/>
  <c r="MK17" i="2"/>
  <c r="AF16" i="6" s="1"/>
  <c r="HU15" i="17" s="1"/>
  <c r="HW15" i="17" s="1"/>
  <c r="MJ18" i="2"/>
  <c r="MK18" i="2"/>
  <c r="AF17" i="6" s="1"/>
  <c r="HU16" i="17" s="1"/>
  <c r="HW16" i="17" s="1"/>
  <c r="MJ19" i="2"/>
  <c r="MK19" i="2"/>
  <c r="AF18" i="6" s="1"/>
  <c r="HU17" i="17" s="1"/>
  <c r="HW17" i="17" s="1"/>
  <c r="MJ20" i="2"/>
  <c r="MK20" i="2"/>
  <c r="AF19" i="6" s="1"/>
  <c r="HU18" i="17" s="1"/>
  <c r="HW18" i="17" s="1"/>
  <c r="MJ21" i="2"/>
  <c r="MK21" i="2"/>
  <c r="AF20" i="6" s="1"/>
  <c r="HU19" i="17" s="1"/>
  <c r="HW19" i="17" s="1"/>
  <c r="MJ22" i="2"/>
  <c r="MK22" i="2"/>
  <c r="AF21" i="6" s="1"/>
  <c r="HU20" i="17" s="1"/>
  <c r="HW20" i="17" s="1"/>
  <c r="MJ23" i="2"/>
  <c r="MK23" i="2"/>
  <c r="AF22" i="6" s="1"/>
  <c r="HU21" i="17" s="1"/>
  <c r="HW21" i="17" s="1"/>
  <c r="MJ24" i="2"/>
  <c r="MK24" i="2"/>
  <c r="AF23" i="6" s="1"/>
  <c r="HU22" i="17" s="1"/>
  <c r="HW22" i="17" s="1"/>
  <c r="MJ25" i="2"/>
  <c r="MK25" i="2"/>
  <c r="AF24" i="6" s="1"/>
  <c r="HU23" i="17" s="1"/>
  <c r="HW23" i="17" s="1"/>
  <c r="MJ26" i="2"/>
  <c r="MK26" i="2"/>
  <c r="AF25" i="6" s="1"/>
  <c r="HU24" i="17" s="1"/>
  <c r="HW24" i="17" s="1"/>
  <c r="MJ27" i="2"/>
  <c r="MK27" i="2"/>
  <c r="AF26" i="6" s="1"/>
  <c r="HU25" i="17" s="1"/>
  <c r="HW25" i="17" s="1"/>
  <c r="MJ28" i="2"/>
  <c r="MK28" i="2"/>
  <c r="AF27" i="6" s="1"/>
  <c r="HU26" i="17" s="1"/>
  <c r="HW26" i="17" s="1"/>
  <c r="MJ29" i="2"/>
  <c r="MK29" i="2"/>
  <c r="AF28" i="6" s="1"/>
  <c r="HU27" i="17" s="1"/>
  <c r="HW27" i="17" s="1"/>
  <c r="MK12" i="2"/>
  <c r="AF11" i="6" s="1"/>
  <c r="HU10" i="17" s="1"/>
  <c r="MJ12" i="2"/>
  <c r="NB20" i="2"/>
  <c r="NC20" i="2"/>
  <c r="ND13" i="2"/>
  <c r="NE13" i="2"/>
  <c r="ND14" i="2"/>
  <c r="NE14" i="2"/>
  <c r="ND15" i="2"/>
  <c r="NE15" i="2"/>
  <c r="ND16" i="2"/>
  <c r="NE16" i="2"/>
  <c r="ND17" i="2"/>
  <c r="NE17" i="2"/>
  <c r="ND18" i="2"/>
  <c r="NE18" i="2"/>
  <c r="ND19" i="2"/>
  <c r="NE19" i="2"/>
  <c r="ND20" i="2"/>
  <c r="NE20" i="2"/>
  <c r="ND21" i="2"/>
  <c r="NE21" i="2"/>
  <c r="ND22" i="2"/>
  <c r="NE22" i="2"/>
  <c r="ND23" i="2"/>
  <c r="NE23" i="2"/>
  <c r="ND24" i="2"/>
  <c r="NE24" i="2"/>
  <c r="ND25" i="2"/>
  <c r="NE25" i="2"/>
  <c r="ND26" i="2"/>
  <c r="NE26" i="2"/>
  <c r="ND27" i="2"/>
  <c r="NE27" i="2"/>
  <c r="ND28" i="2"/>
  <c r="NE28" i="2"/>
  <c r="ND29" i="2"/>
  <c r="NE29" i="2"/>
  <c r="NE12" i="2"/>
  <c r="ND12" i="2"/>
  <c r="ND34" i="2"/>
  <c r="NE34" i="2"/>
  <c r="O31" i="17" l="1"/>
  <c r="O30" i="17"/>
  <c r="S31" i="17"/>
  <c r="S30" i="17"/>
  <c r="HU32" i="17"/>
  <c r="JN28" i="17"/>
  <c r="NE30" i="2"/>
  <c r="NE37" i="2" s="1"/>
  <c r="ND30" i="2"/>
  <c r="ND37" i="2" s="1"/>
  <c r="HU28" i="17"/>
  <c r="HW32" i="17"/>
  <c r="HX35" i="17"/>
  <c r="HY32" i="17"/>
  <c r="IA32" i="17"/>
  <c r="T32" i="17"/>
  <c r="JP35" i="17"/>
  <c r="JN32" i="17"/>
  <c r="JJ32" i="17"/>
  <c r="IB35" i="17"/>
  <c r="IA28" i="17"/>
  <c r="HW10" i="17"/>
  <c r="HW28" i="17" s="1"/>
  <c r="HV32" i="17"/>
  <c r="HV35" i="17" s="1"/>
  <c r="HY28" i="17"/>
  <c r="IA35" i="17" l="1"/>
  <c r="O32" i="17"/>
  <c r="HW35" i="17"/>
  <c r="S32" i="17"/>
  <c r="HU35" i="17"/>
  <c r="JN35" i="17"/>
  <c r="HY35" i="17"/>
  <c r="HY36" i="17" l="1"/>
  <c r="HU36" i="17"/>
  <c r="NF33" i="2"/>
  <c r="NF32" i="2"/>
  <c r="NF29" i="2"/>
  <c r="NF28" i="2"/>
  <c r="NF27" i="2"/>
  <c r="NF26" i="2"/>
  <c r="NF25" i="2"/>
  <c r="NF24" i="2"/>
  <c r="NF23" i="2"/>
  <c r="NF22" i="2"/>
  <c r="NF21" i="2"/>
  <c r="NF20" i="2"/>
  <c r="NF19" i="2"/>
  <c r="NF18" i="2"/>
  <c r="NF17" i="2"/>
  <c r="NF16" i="2"/>
  <c r="NF15" i="2"/>
  <c r="NF14" i="2"/>
  <c r="NF13" i="2"/>
  <c r="NF12" i="2"/>
  <c r="NA33" i="2"/>
  <c r="NA32" i="2"/>
  <c r="MV33" i="2"/>
  <c r="MV32" i="2"/>
  <c r="MQ33" i="2"/>
  <c r="MQ32" i="2"/>
  <c r="MZ34" i="2"/>
  <c r="MY34" i="2"/>
  <c r="MZ29" i="2"/>
  <c r="MY29" i="2"/>
  <c r="MZ28" i="2"/>
  <c r="MY28" i="2"/>
  <c r="MZ27" i="2"/>
  <c r="MY27" i="2"/>
  <c r="MZ26" i="2"/>
  <c r="MY26" i="2"/>
  <c r="MZ25" i="2"/>
  <c r="MY25" i="2"/>
  <c r="MZ24" i="2"/>
  <c r="MY24" i="2"/>
  <c r="MZ23" i="2"/>
  <c r="MY23" i="2"/>
  <c r="MZ22" i="2"/>
  <c r="MY22" i="2"/>
  <c r="MZ21" i="2"/>
  <c r="MY21" i="2"/>
  <c r="MZ20" i="2"/>
  <c r="MY20" i="2"/>
  <c r="MZ19" i="2"/>
  <c r="MY19" i="2"/>
  <c r="MZ18" i="2"/>
  <c r="MY18" i="2"/>
  <c r="MZ17" i="2"/>
  <c r="MY17" i="2"/>
  <c r="MZ16" i="2"/>
  <c r="MY16" i="2"/>
  <c r="MZ15" i="2"/>
  <c r="MY15" i="2"/>
  <c r="MZ14" i="2"/>
  <c r="MY14" i="2"/>
  <c r="MZ13" i="2"/>
  <c r="MY13" i="2"/>
  <c r="MZ12" i="2"/>
  <c r="MZ30" i="2" s="1"/>
  <c r="MZ37" i="2" s="1"/>
  <c r="MY12" i="2"/>
  <c r="MU34" i="2"/>
  <c r="MT34" i="2"/>
  <c r="MU29" i="2"/>
  <c r="MT29" i="2"/>
  <c r="MU28" i="2"/>
  <c r="MT28" i="2"/>
  <c r="MU27" i="2"/>
  <c r="MT27" i="2"/>
  <c r="MU26" i="2"/>
  <c r="MT26" i="2"/>
  <c r="MU25" i="2"/>
  <c r="MT25" i="2"/>
  <c r="MU24" i="2"/>
  <c r="MT24" i="2"/>
  <c r="MU23" i="2"/>
  <c r="MT23" i="2"/>
  <c r="MU22" i="2"/>
  <c r="MT22" i="2"/>
  <c r="MU21" i="2"/>
  <c r="MT21" i="2"/>
  <c r="MU20" i="2"/>
  <c r="MT20" i="2"/>
  <c r="MU19" i="2"/>
  <c r="MT19" i="2"/>
  <c r="MU18" i="2"/>
  <c r="MT18" i="2"/>
  <c r="MU17" i="2"/>
  <c r="MT17" i="2"/>
  <c r="MU16" i="2"/>
  <c r="MT16" i="2"/>
  <c r="MU15" i="2"/>
  <c r="MT15" i="2"/>
  <c r="MU14" i="2"/>
  <c r="MT14" i="2"/>
  <c r="MU13" i="2"/>
  <c r="MT13" i="2"/>
  <c r="MU12" i="2"/>
  <c r="MT12" i="2"/>
  <c r="NJ34" i="2"/>
  <c r="NI34" i="2"/>
  <c r="NJ30" i="2"/>
  <c r="NI30" i="2"/>
  <c r="MV34" i="2" l="1"/>
  <c r="NF34" i="2"/>
  <c r="MY30" i="2"/>
  <c r="MY37" i="2" s="1"/>
  <c r="MT30" i="2"/>
  <c r="MT37" i="2" s="1"/>
  <c r="NF30" i="2"/>
  <c r="NJ37" i="2"/>
  <c r="NA34" i="2"/>
  <c r="NI37" i="2"/>
  <c r="MU30" i="2"/>
  <c r="MU37" i="2" s="1"/>
  <c r="MO40" i="2"/>
  <c r="ML13" i="2"/>
  <c r="ML14" i="2"/>
  <c r="ML15" i="2"/>
  <c r="ML16" i="2"/>
  <c r="ML17" i="2"/>
  <c r="ML18" i="2"/>
  <c r="ML19" i="2"/>
  <c r="ML20" i="2"/>
  <c r="ML21" i="2"/>
  <c r="ML22" i="2"/>
  <c r="ML23" i="2"/>
  <c r="ML24" i="2"/>
  <c r="ML25" i="2"/>
  <c r="ML26" i="2"/>
  <c r="ML27" i="2"/>
  <c r="ML28" i="2"/>
  <c r="ML29" i="2"/>
  <c r="ML12" i="2"/>
  <c r="MP34" i="2"/>
  <c r="MO34" i="2"/>
  <c r="MP30" i="2"/>
  <c r="MO30" i="2"/>
  <c r="MO37" i="2" s="1"/>
  <c r="F187" i="8" s="1"/>
  <c r="F188" i="8" s="1"/>
  <c r="MK34" i="2"/>
  <c r="MJ34" i="2"/>
  <c r="MK30" i="2"/>
  <c r="MJ30" i="2"/>
  <c r="MJ37" i="2" s="1"/>
  <c r="E187" i="8" s="1"/>
  <c r="E188" i="8" s="1"/>
  <c r="D187" i="8"/>
  <c r="D188" i="8" s="1"/>
  <c r="MK37" i="2" l="1"/>
  <c r="E190" i="8" s="1"/>
  <c r="E191" i="8" s="1"/>
  <c r="MP37" i="2"/>
  <c r="C33" i="7" s="1"/>
  <c r="NF37" i="2"/>
  <c r="MO42" i="2"/>
  <c r="AG33" i="6"/>
  <c r="AG29" i="6"/>
  <c r="F190" i="8" l="1"/>
  <c r="F191" i="8" s="1"/>
  <c r="B33" i="7"/>
  <c r="MP42" i="2"/>
  <c r="AG36" i="6"/>
  <c r="D184" i="8" l="1"/>
  <c r="D177" i="8"/>
  <c r="D60" i="8"/>
  <c r="D63" i="8"/>
  <c r="D47" i="11" l="1"/>
  <c r="E49" i="11"/>
  <c r="E47" i="11" s="1"/>
  <c r="I48" i="11"/>
  <c r="H48" i="11"/>
  <c r="D24" i="11"/>
  <c r="D11" i="11"/>
  <c r="C8" i="9"/>
  <c r="E24" i="11" l="1"/>
  <c r="F24" i="11" s="1"/>
  <c r="J24" i="11"/>
  <c r="G49" i="11"/>
  <c r="I49" i="11" s="1"/>
  <c r="F49" i="11"/>
  <c r="H49" i="11" s="1"/>
  <c r="F47" i="11"/>
  <c r="D477" i="8"/>
  <c r="IA24" i="2"/>
  <c r="IB24" i="2"/>
  <c r="IA29" i="2"/>
  <c r="IB29" i="2"/>
  <c r="IB12" i="2"/>
  <c r="IA12" i="2"/>
  <c r="ID34" i="2"/>
  <c r="IC34" i="2"/>
  <c r="G47" i="11" l="1"/>
  <c r="AK18" i="4"/>
  <c r="AG13" i="4"/>
  <c r="AK9" i="4"/>
  <c r="D357" i="8" l="1"/>
  <c r="D360" i="8"/>
  <c r="W28" i="5" l="1"/>
  <c r="RT33" i="2"/>
  <c r="D74" i="8"/>
  <c r="D72" i="8"/>
  <c r="G89" i="8"/>
  <c r="I89" i="8" s="1"/>
  <c r="H89" i="8"/>
  <c r="G90" i="8"/>
  <c r="I90" i="8" s="1"/>
  <c r="H90" i="8"/>
  <c r="D91" i="8"/>
  <c r="G91" i="8" s="1"/>
  <c r="I91" i="8" s="1"/>
  <c r="H91" i="8"/>
  <c r="J92" i="8"/>
  <c r="D93" i="8"/>
  <c r="D94" i="8" s="1"/>
  <c r="H95" i="8"/>
  <c r="D96" i="8"/>
  <c r="D97" i="8" s="1"/>
  <c r="H98" i="8"/>
  <c r="D99" i="8"/>
  <c r="G100" i="8"/>
  <c r="I100" i="8" s="1"/>
  <c r="H100" i="8"/>
  <c r="H93" i="8" l="1"/>
  <c r="G92" i="8"/>
  <c r="G93" i="8" s="1"/>
  <c r="I93" i="8" s="1"/>
  <c r="G98" i="8"/>
  <c r="I98" i="8" s="1"/>
  <c r="H92" i="8"/>
  <c r="G97" i="8"/>
  <c r="I97" i="8" s="1"/>
  <c r="G95" i="8"/>
  <c r="H99" i="8"/>
  <c r="H96" i="8" l="1"/>
  <c r="I92" i="8"/>
  <c r="G94" i="8"/>
  <c r="I94" i="8" s="1"/>
  <c r="G99" i="8"/>
  <c r="I99" i="8" s="1"/>
  <c r="H97" i="8"/>
  <c r="H94" i="8"/>
  <c r="I95" i="8"/>
  <c r="G96" i="8"/>
  <c r="I96" i="8" s="1"/>
  <c r="UT33" i="2" l="1"/>
  <c r="UT32" i="2"/>
  <c r="UT13" i="2"/>
  <c r="UT14" i="2"/>
  <c r="UT15" i="2"/>
  <c r="UT16" i="2"/>
  <c r="UT17" i="2"/>
  <c r="UT18" i="2"/>
  <c r="UT19" i="2"/>
  <c r="UT20" i="2"/>
  <c r="UT21" i="2"/>
  <c r="UT22" i="2"/>
  <c r="UT23" i="2"/>
  <c r="UT24" i="2"/>
  <c r="UT25" i="2"/>
  <c r="UT26" i="2"/>
  <c r="UT27" i="2"/>
  <c r="UT28" i="2"/>
  <c r="UT29" i="2"/>
  <c r="UT12" i="2"/>
  <c r="D22" i="11"/>
  <c r="I23" i="11"/>
  <c r="H23" i="11"/>
  <c r="CK32" i="6"/>
  <c r="CK31" i="6"/>
  <c r="CK12" i="6"/>
  <c r="CK13" i="6"/>
  <c r="CK14" i="6"/>
  <c r="CK15" i="6"/>
  <c r="CK16" i="6"/>
  <c r="CK17" i="6"/>
  <c r="CK18" i="6"/>
  <c r="CK19" i="6"/>
  <c r="CK20" i="6"/>
  <c r="CK21" i="6"/>
  <c r="CK22" i="6"/>
  <c r="CK23" i="6"/>
  <c r="CK24" i="6"/>
  <c r="CK25" i="6"/>
  <c r="CK26" i="6"/>
  <c r="CK27" i="6"/>
  <c r="CK28" i="6"/>
  <c r="CK11" i="6"/>
  <c r="ST33" i="2"/>
  <c r="ST32" i="2"/>
  <c r="ST13" i="2"/>
  <c r="ST14" i="2"/>
  <c r="ST15" i="2"/>
  <c r="ST16" i="2"/>
  <c r="ST17" i="2"/>
  <c r="ST18" i="2"/>
  <c r="ST19" i="2"/>
  <c r="ST20" i="2"/>
  <c r="ST21" i="2"/>
  <c r="ST22" i="2"/>
  <c r="ST23" i="2"/>
  <c r="ST24" i="2"/>
  <c r="ST25" i="2"/>
  <c r="ST26" i="2"/>
  <c r="ST27" i="2"/>
  <c r="ST28" i="2"/>
  <c r="ST29" i="2"/>
  <c r="ST12" i="2"/>
  <c r="SW34" i="2"/>
  <c r="SW30" i="2"/>
  <c r="H15" i="11"/>
  <c r="G15" i="11"/>
  <c r="I15" i="11" s="1"/>
  <c r="UQ33" i="2"/>
  <c r="UP33" i="2"/>
  <c r="UQ32" i="2"/>
  <c r="UP32" i="2"/>
  <c r="UP13" i="2"/>
  <c r="UQ13" i="2"/>
  <c r="UP14" i="2"/>
  <c r="UQ14" i="2"/>
  <c r="UP15" i="2"/>
  <c r="UQ15" i="2"/>
  <c r="UP16" i="2"/>
  <c r="UQ16" i="2"/>
  <c r="UP17" i="2"/>
  <c r="UQ17" i="2"/>
  <c r="UP18" i="2"/>
  <c r="UQ18" i="2"/>
  <c r="UP19" i="2"/>
  <c r="UQ19" i="2"/>
  <c r="UP20" i="2"/>
  <c r="UQ20" i="2"/>
  <c r="UP21" i="2"/>
  <c r="UQ21" i="2"/>
  <c r="UP22" i="2"/>
  <c r="UQ22" i="2"/>
  <c r="UP23" i="2"/>
  <c r="UQ23" i="2"/>
  <c r="UP24" i="2"/>
  <c r="UQ24" i="2"/>
  <c r="UP25" i="2"/>
  <c r="UQ25" i="2"/>
  <c r="UP26" i="2"/>
  <c r="UQ26" i="2"/>
  <c r="UP27" i="2"/>
  <c r="UQ27" i="2"/>
  <c r="UP28" i="2"/>
  <c r="UQ28" i="2"/>
  <c r="UP29" i="2"/>
  <c r="UQ29" i="2"/>
  <c r="UQ12" i="2"/>
  <c r="UP12" i="2"/>
  <c r="UX34" i="2"/>
  <c r="UW34" i="2"/>
  <c r="UX30" i="2"/>
  <c r="UW30" i="2"/>
  <c r="VW40" i="2"/>
  <c r="QN13" i="2"/>
  <c r="QO13" i="2"/>
  <c r="QN14" i="2"/>
  <c r="QO14" i="2"/>
  <c r="QN15" i="2"/>
  <c r="QO15" i="2"/>
  <c r="QN16" i="2"/>
  <c r="QO16" i="2"/>
  <c r="QN17" i="2"/>
  <c r="QO17" i="2"/>
  <c r="QN18" i="2"/>
  <c r="QO18" i="2"/>
  <c r="QN19" i="2"/>
  <c r="QO19" i="2"/>
  <c r="QN20" i="2"/>
  <c r="QO20" i="2"/>
  <c r="QN21" i="2"/>
  <c r="QO21" i="2"/>
  <c r="QN22" i="2"/>
  <c r="QO22" i="2"/>
  <c r="QN23" i="2"/>
  <c r="QO23" i="2"/>
  <c r="QN24" i="2"/>
  <c r="QO24" i="2"/>
  <c r="QN25" i="2"/>
  <c r="QO25" i="2"/>
  <c r="QN26" i="2"/>
  <c r="QO26" i="2"/>
  <c r="QN27" i="2"/>
  <c r="QO27" i="2"/>
  <c r="QN28" i="2"/>
  <c r="QO28" i="2"/>
  <c r="QN29" i="2"/>
  <c r="QO29" i="2"/>
  <c r="QO12" i="2"/>
  <c r="QN12" i="2"/>
  <c r="QL34" i="2"/>
  <c r="QK34" i="2"/>
  <c r="QP34" i="2"/>
  <c r="QM34" i="2"/>
  <c r="QJ34" i="2"/>
  <c r="QG34" i="2"/>
  <c r="QR34" i="2"/>
  <c r="QQ34" i="2"/>
  <c r="QR29" i="2"/>
  <c r="QL29" i="2" s="1"/>
  <c r="JO27" i="17" s="1"/>
  <c r="QQ29" i="2"/>
  <c r="QK29" i="2" s="1"/>
  <c r="QR28" i="2"/>
  <c r="QL28" i="2" s="1"/>
  <c r="JO26" i="17" s="1"/>
  <c r="QQ28" i="2"/>
  <c r="QR27" i="2"/>
  <c r="QL27" i="2" s="1"/>
  <c r="JO25" i="17" s="1"/>
  <c r="QQ27" i="2"/>
  <c r="QK27" i="2" s="1"/>
  <c r="QR26" i="2"/>
  <c r="QL26" i="2" s="1"/>
  <c r="JO24" i="17" s="1"/>
  <c r="QQ26" i="2"/>
  <c r="QK26" i="2" s="1"/>
  <c r="QR25" i="2"/>
  <c r="QL25" i="2" s="1"/>
  <c r="JO23" i="17" s="1"/>
  <c r="QQ25" i="2"/>
  <c r="QK25" i="2" s="1"/>
  <c r="QR24" i="2"/>
  <c r="QL24" i="2" s="1"/>
  <c r="JO22" i="17" s="1"/>
  <c r="QQ24" i="2"/>
  <c r="QR23" i="2"/>
  <c r="QL23" i="2" s="1"/>
  <c r="JO21" i="17" s="1"/>
  <c r="QQ23" i="2"/>
  <c r="QK23" i="2" s="1"/>
  <c r="QR22" i="2"/>
  <c r="QL22" i="2" s="1"/>
  <c r="JO20" i="17" s="1"/>
  <c r="QQ22" i="2"/>
  <c r="QK22" i="2" s="1"/>
  <c r="QR21" i="2"/>
  <c r="QL21" i="2" s="1"/>
  <c r="JO19" i="17" s="1"/>
  <c r="QQ21" i="2"/>
  <c r="QK21" i="2" s="1"/>
  <c r="QR20" i="2"/>
  <c r="QL20" i="2" s="1"/>
  <c r="JO18" i="17" s="1"/>
  <c r="QQ20" i="2"/>
  <c r="QR19" i="2"/>
  <c r="QL19" i="2" s="1"/>
  <c r="JO17" i="17" s="1"/>
  <c r="QQ19" i="2"/>
  <c r="QK19" i="2" s="1"/>
  <c r="QR18" i="2"/>
  <c r="QL18" i="2" s="1"/>
  <c r="JO16" i="17" s="1"/>
  <c r="QQ18" i="2"/>
  <c r="QK18" i="2" s="1"/>
  <c r="QR17" i="2"/>
  <c r="QL17" i="2" s="1"/>
  <c r="JO15" i="17" s="1"/>
  <c r="QQ17" i="2"/>
  <c r="QK17" i="2" s="1"/>
  <c r="QR16" i="2"/>
  <c r="QL16" i="2" s="1"/>
  <c r="JO14" i="17" s="1"/>
  <c r="QQ16" i="2"/>
  <c r="QR15" i="2"/>
  <c r="QL15" i="2" s="1"/>
  <c r="JO13" i="17" s="1"/>
  <c r="QQ15" i="2"/>
  <c r="QK15" i="2" s="1"/>
  <c r="QR14" i="2"/>
  <c r="QL14" i="2" s="1"/>
  <c r="JO12" i="17" s="1"/>
  <c r="QQ14" i="2"/>
  <c r="QK14" i="2" s="1"/>
  <c r="QR13" i="2"/>
  <c r="QL13" i="2" s="1"/>
  <c r="JO11" i="17" s="1"/>
  <c r="QQ13" i="2"/>
  <c r="QK13" i="2" s="1"/>
  <c r="QR12" i="2"/>
  <c r="QQ12" i="2"/>
  <c r="QO34" i="2"/>
  <c r="QN34" i="2"/>
  <c r="QI34" i="2"/>
  <c r="QH34" i="2"/>
  <c r="BM32" i="6"/>
  <c r="JM31" i="17" s="1"/>
  <c r="BL32" i="6"/>
  <c r="JI31" i="17" s="1"/>
  <c r="BM31" i="6"/>
  <c r="JM30" i="17" s="1"/>
  <c r="BL31" i="6"/>
  <c r="JI30" i="17" s="1"/>
  <c r="BM12" i="6"/>
  <c r="JM11" i="17" s="1"/>
  <c r="BM13" i="6"/>
  <c r="JM12" i="17" s="1"/>
  <c r="BM14" i="6"/>
  <c r="JM13" i="17" s="1"/>
  <c r="BM15" i="6"/>
  <c r="JM14" i="17" s="1"/>
  <c r="BM16" i="6"/>
  <c r="JM15" i="17" s="1"/>
  <c r="BM17" i="6"/>
  <c r="JM16" i="17" s="1"/>
  <c r="BM18" i="6"/>
  <c r="JM17" i="17" s="1"/>
  <c r="BM19" i="6"/>
  <c r="JM18" i="17" s="1"/>
  <c r="BM20" i="6"/>
  <c r="JM19" i="17" s="1"/>
  <c r="BM21" i="6"/>
  <c r="JM20" i="17" s="1"/>
  <c r="BM22" i="6"/>
  <c r="JM21" i="17" s="1"/>
  <c r="BM23" i="6"/>
  <c r="JM22" i="17" s="1"/>
  <c r="BM24" i="6"/>
  <c r="JM23" i="17" s="1"/>
  <c r="BM25" i="6"/>
  <c r="JM24" i="17" s="1"/>
  <c r="BM26" i="6"/>
  <c r="JM25" i="17" s="1"/>
  <c r="BM27" i="6"/>
  <c r="JM26" i="17" s="1"/>
  <c r="BM28" i="6"/>
  <c r="JM27" i="17" s="1"/>
  <c r="BM11" i="6"/>
  <c r="JM10" i="17" s="1"/>
  <c r="QB13" i="2"/>
  <c r="QC13" i="2"/>
  <c r="QB14" i="2"/>
  <c r="QC14" i="2"/>
  <c r="QB15" i="2"/>
  <c r="QC15" i="2"/>
  <c r="QB16" i="2"/>
  <c r="QC16" i="2"/>
  <c r="QB17" i="2"/>
  <c r="QC17" i="2"/>
  <c r="QB18" i="2"/>
  <c r="QC18" i="2"/>
  <c r="QB19" i="2"/>
  <c r="QC19" i="2"/>
  <c r="QB20" i="2"/>
  <c r="QC20" i="2"/>
  <c r="QB21" i="2"/>
  <c r="QC21" i="2"/>
  <c r="QB22" i="2"/>
  <c r="QC22" i="2"/>
  <c r="QB23" i="2"/>
  <c r="QC23" i="2"/>
  <c r="QB24" i="2"/>
  <c r="QC24" i="2"/>
  <c r="QB25" i="2"/>
  <c r="QC25" i="2"/>
  <c r="QB26" i="2"/>
  <c r="QC26" i="2"/>
  <c r="QB27" i="2"/>
  <c r="QC27" i="2"/>
  <c r="QB28" i="2"/>
  <c r="QC28" i="2"/>
  <c r="QB29" i="2"/>
  <c r="QC29" i="2"/>
  <c r="QC12" i="2"/>
  <c r="QB12" i="2"/>
  <c r="PV13" i="2"/>
  <c r="PW13" i="2"/>
  <c r="PV14" i="2"/>
  <c r="PW14" i="2"/>
  <c r="PV15" i="2"/>
  <c r="PW15" i="2"/>
  <c r="JJ13" i="17" s="1"/>
  <c r="PV16" i="2"/>
  <c r="PW16" i="2"/>
  <c r="JJ14" i="17" s="1"/>
  <c r="PV17" i="2"/>
  <c r="PW17" i="2"/>
  <c r="PV18" i="2"/>
  <c r="PW18" i="2"/>
  <c r="PV19" i="2"/>
  <c r="PW19" i="2"/>
  <c r="JJ17" i="17" s="1"/>
  <c r="PV20" i="2"/>
  <c r="PW20" i="2"/>
  <c r="PV21" i="2"/>
  <c r="PW21" i="2"/>
  <c r="PV22" i="2"/>
  <c r="PW22" i="2"/>
  <c r="PV23" i="2"/>
  <c r="PW23" i="2"/>
  <c r="JJ21" i="17" s="1"/>
  <c r="PV24" i="2"/>
  <c r="PW24" i="2"/>
  <c r="JJ22" i="17" s="1"/>
  <c r="PV25" i="2"/>
  <c r="PW25" i="2"/>
  <c r="PV26" i="2"/>
  <c r="PW26" i="2"/>
  <c r="JJ24" i="17" s="1"/>
  <c r="PV27" i="2"/>
  <c r="PW27" i="2"/>
  <c r="JJ25" i="17" s="1"/>
  <c r="PV28" i="2"/>
  <c r="PW28" i="2"/>
  <c r="PV29" i="2"/>
  <c r="PW29" i="2"/>
  <c r="PW12" i="2"/>
  <c r="PV12" i="2"/>
  <c r="PX34" i="2"/>
  <c r="PX29" i="2"/>
  <c r="PX28" i="2"/>
  <c r="PX27" i="2"/>
  <c r="PX26" i="2"/>
  <c r="PX25" i="2"/>
  <c r="PX24" i="2"/>
  <c r="PX23" i="2"/>
  <c r="PX22" i="2"/>
  <c r="PX21" i="2"/>
  <c r="PX20" i="2"/>
  <c r="PX19" i="2"/>
  <c r="PX18" i="2"/>
  <c r="PX17" i="2"/>
  <c r="PX16" i="2"/>
  <c r="PX15" i="2"/>
  <c r="PX14" i="2"/>
  <c r="PX13" i="2"/>
  <c r="PX12" i="2"/>
  <c r="PU34" i="2"/>
  <c r="QD34" i="2"/>
  <c r="QD29" i="2"/>
  <c r="QD28" i="2"/>
  <c r="QD27" i="2"/>
  <c r="QD26" i="2"/>
  <c r="QD25" i="2"/>
  <c r="QD24" i="2"/>
  <c r="QD23" i="2"/>
  <c r="QD22" i="2"/>
  <c r="QD21" i="2"/>
  <c r="QD20" i="2"/>
  <c r="QD19" i="2"/>
  <c r="QD18" i="2"/>
  <c r="QD17" i="2"/>
  <c r="QD16" i="2"/>
  <c r="QD15" i="2"/>
  <c r="QD14" i="2"/>
  <c r="QD13" i="2"/>
  <c r="QD12" i="2"/>
  <c r="QF34" i="2"/>
  <c r="QE34" i="2"/>
  <c r="QF30" i="2"/>
  <c r="QE30" i="2"/>
  <c r="QC34" i="2"/>
  <c r="QB34" i="2"/>
  <c r="PZ34" i="2"/>
  <c r="PY34" i="2"/>
  <c r="PZ30" i="2"/>
  <c r="PY30" i="2"/>
  <c r="PW34" i="2"/>
  <c r="PV34" i="2"/>
  <c r="QA34" i="2"/>
  <c r="SS28" i="2" l="1"/>
  <c r="SS24" i="2"/>
  <c r="SS20" i="2"/>
  <c r="SS16" i="2"/>
  <c r="SS32" i="2"/>
  <c r="VA27" i="2"/>
  <c r="VA23" i="2"/>
  <c r="VA19" i="2"/>
  <c r="VA15" i="2"/>
  <c r="SS29" i="2"/>
  <c r="SS25" i="2"/>
  <c r="SS21" i="2"/>
  <c r="SS17" i="2"/>
  <c r="SS13" i="2"/>
  <c r="VA28" i="2"/>
  <c r="VA24" i="2"/>
  <c r="VA20" i="2"/>
  <c r="VA16" i="2"/>
  <c r="VA32" i="2"/>
  <c r="SS12" i="2"/>
  <c r="SS26" i="2"/>
  <c r="SS22" i="2"/>
  <c r="SS18" i="2"/>
  <c r="SS14" i="2"/>
  <c r="VA29" i="2"/>
  <c r="VA25" i="2"/>
  <c r="VA21" i="2"/>
  <c r="VA17" i="2"/>
  <c r="VA13" i="2"/>
  <c r="SS27" i="2"/>
  <c r="SS23" i="2"/>
  <c r="SS19" i="2"/>
  <c r="SS15" i="2"/>
  <c r="SS33" i="2"/>
  <c r="VA12" i="2"/>
  <c r="VA26" i="2"/>
  <c r="VA22" i="2"/>
  <c r="VA18" i="2"/>
  <c r="VA14" i="2"/>
  <c r="JI32" i="17"/>
  <c r="JM32" i="17"/>
  <c r="BL27" i="6"/>
  <c r="JI26" i="17" s="1"/>
  <c r="JJ26" i="17"/>
  <c r="BL21" i="6"/>
  <c r="JI20" i="17" s="1"/>
  <c r="JJ20" i="17"/>
  <c r="BL19" i="6"/>
  <c r="JI18" i="17" s="1"/>
  <c r="JJ18" i="17"/>
  <c r="BL17" i="6"/>
  <c r="JI16" i="17" s="1"/>
  <c r="JJ16" i="17"/>
  <c r="BL13" i="6"/>
  <c r="JI12" i="17" s="1"/>
  <c r="JJ12" i="17"/>
  <c r="JM28" i="17"/>
  <c r="BL11" i="6"/>
  <c r="JI10" i="17" s="1"/>
  <c r="JJ10" i="17"/>
  <c r="BL28" i="6"/>
  <c r="JI27" i="17" s="1"/>
  <c r="JJ27" i="17"/>
  <c r="BL24" i="6"/>
  <c r="JI23" i="17" s="1"/>
  <c r="JJ23" i="17"/>
  <c r="BL20" i="6"/>
  <c r="JI19" i="17" s="1"/>
  <c r="JJ19" i="17"/>
  <c r="BL16" i="6"/>
  <c r="JI15" i="17" s="1"/>
  <c r="JJ15" i="17"/>
  <c r="BL12" i="6"/>
  <c r="JI11" i="17" s="1"/>
  <c r="JJ11" i="17"/>
  <c r="CJ11" i="6"/>
  <c r="CJ25" i="6"/>
  <c r="CJ21" i="6"/>
  <c r="CJ17" i="6"/>
  <c r="CJ13" i="6"/>
  <c r="CJ26" i="6"/>
  <c r="CJ18" i="6"/>
  <c r="CJ14" i="6"/>
  <c r="CJ32" i="6"/>
  <c r="CJ31" i="6"/>
  <c r="VA33" i="2"/>
  <c r="CJ28" i="6"/>
  <c r="CJ20" i="6"/>
  <c r="CJ16" i="6"/>
  <c r="BL25" i="6"/>
  <c r="JI24" i="17" s="1"/>
  <c r="CK33" i="6"/>
  <c r="QF37" i="2"/>
  <c r="UX37" i="2"/>
  <c r="F54" i="11" s="1"/>
  <c r="UT34" i="2"/>
  <c r="UT30" i="2"/>
  <c r="CJ24" i="6"/>
  <c r="CJ22" i="6"/>
  <c r="CJ12" i="6"/>
  <c r="CJ27" i="6"/>
  <c r="CJ23" i="6"/>
  <c r="CJ19" i="6"/>
  <c r="CJ15" i="6"/>
  <c r="QH29" i="2"/>
  <c r="QH27" i="2"/>
  <c r="QH25" i="2"/>
  <c r="QH23" i="2"/>
  <c r="QH21" i="2"/>
  <c r="QH19" i="2"/>
  <c r="QH17" i="2"/>
  <c r="QH15" i="2"/>
  <c r="QH13" i="2"/>
  <c r="ST34" i="2"/>
  <c r="QM12" i="2"/>
  <c r="QM28" i="2"/>
  <c r="QM26" i="2"/>
  <c r="QM24" i="2"/>
  <c r="QM22" i="2"/>
  <c r="QM20" i="2"/>
  <c r="QM18" i="2"/>
  <c r="QM16" i="2"/>
  <c r="SW37" i="2"/>
  <c r="SV30" i="2"/>
  <c r="SV34" i="2"/>
  <c r="QE37" i="2"/>
  <c r="UW37" i="2"/>
  <c r="F53" i="11" s="1"/>
  <c r="ST30" i="2"/>
  <c r="UP34" i="2"/>
  <c r="J15" i="11"/>
  <c r="UP30" i="2"/>
  <c r="UQ34" i="2"/>
  <c r="UQ37" i="2" s="1"/>
  <c r="E54" i="11" s="1"/>
  <c r="QM14" i="2"/>
  <c r="QM23" i="2"/>
  <c r="QM19" i="2"/>
  <c r="QM15" i="2"/>
  <c r="QI19" i="2"/>
  <c r="JK17" i="17" s="1"/>
  <c r="QH12" i="2"/>
  <c r="QI28" i="2"/>
  <c r="JK26" i="17" s="1"/>
  <c r="QI26" i="2"/>
  <c r="JK24" i="17" s="1"/>
  <c r="QI24" i="2"/>
  <c r="JK22" i="17" s="1"/>
  <c r="QI22" i="2"/>
  <c r="JK20" i="17" s="1"/>
  <c r="QI20" i="2"/>
  <c r="JK18" i="17" s="1"/>
  <c r="QI18" i="2"/>
  <c r="JK16" i="17" s="1"/>
  <c r="QI16" i="2"/>
  <c r="JK14" i="17" s="1"/>
  <c r="QI14" i="2"/>
  <c r="JK12" i="17" s="1"/>
  <c r="QN30" i="2"/>
  <c r="QN37" i="2" s="1"/>
  <c r="QM13" i="2"/>
  <c r="QM29" i="2"/>
  <c r="QM25" i="2"/>
  <c r="QJ15" i="2"/>
  <c r="QJ17" i="2"/>
  <c r="QJ19" i="2"/>
  <c r="QJ23" i="2"/>
  <c r="QJ25" i="2"/>
  <c r="QJ27" i="2"/>
  <c r="QM27" i="2"/>
  <c r="QM21" i="2"/>
  <c r="QM17" i="2"/>
  <c r="QR30" i="2"/>
  <c r="QR37" i="2" s="1"/>
  <c r="PU19" i="2"/>
  <c r="QQ30" i="2"/>
  <c r="QQ37" i="2" s="1"/>
  <c r="QI12" i="2"/>
  <c r="JK10" i="17" s="1"/>
  <c r="QH28" i="2"/>
  <c r="QH26" i="2"/>
  <c r="QH24" i="2"/>
  <c r="QH22" i="2"/>
  <c r="QH20" i="2"/>
  <c r="QH18" i="2"/>
  <c r="QH16" i="2"/>
  <c r="QH14" i="2"/>
  <c r="QJ14" i="2"/>
  <c r="QP16" i="2"/>
  <c r="QJ18" i="2"/>
  <c r="QP20" i="2"/>
  <c r="QJ22" i="2"/>
  <c r="QP24" i="2"/>
  <c r="QP28" i="2"/>
  <c r="PU15" i="2"/>
  <c r="QA29" i="2"/>
  <c r="QA27" i="2"/>
  <c r="QA25" i="2"/>
  <c r="QA23" i="2"/>
  <c r="QA21" i="2"/>
  <c r="QA17" i="2"/>
  <c r="QA15" i="2"/>
  <c r="QA13" i="2"/>
  <c r="QJ26" i="2"/>
  <c r="QJ13" i="2"/>
  <c r="QJ21" i="2"/>
  <c r="QJ29" i="2"/>
  <c r="QP14" i="2"/>
  <c r="QP18" i="2"/>
  <c r="QP22" i="2"/>
  <c r="QP26" i="2"/>
  <c r="QL12" i="2"/>
  <c r="QP13" i="2"/>
  <c r="QP17" i="2"/>
  <c r="QP21" i="2"/>
  <c r="QP25" i="2"/>
  <c r="QP29" i="2"/>
  <c r="QI29" i="2"/>
  <c r="JK27" i="17" s="1"/>
  <c r="QI27" i="2"/>
  <c r="JK25" i="17" s="1"/>
  <c r="QI25" i="2"/>
  <c r="JK23" i="17" s="1"/>
  <c r="QI23" i="2"/>
  <c r="JK21" i="17" s="1"/>
  <c r="QI21" i="2"/>
  <c r="JK19" i="17" s="1"/>
  <c r="QI17" i="2"/>
  <c r="JK15" i="17" s="1"/>
  <c r="QI15" i="2"/>
  <c r="JK13" i="17" s="1"/>
  <c r="QI13" i="2"/>
  <c r="JK11" i="17" s="1"/>
  <c r="QK12" i="2"/>
  <c r="QK16" i="2"/>
  <c r="QJ16" i="2" s="1"/>
  <c r="QK20" i="2"/>
  <c r="QJ20" i="2" s="1"/>
  <c r="QK24" i="2"/>
  <c r="QJ24" i="2" s="1"/>
  <c r="QK28" i="2"/>
  <c r="QJ28" i="2" s="1"/>
  <c r="QP12" i="2"/>
  <c r="QP15" i="2"/>
  <c r="QP19" i="2"/>
  <c r="QP23" i="2"/>
  <c r="QP27" i="2"/>
  <c r="QO30" i="2"/>
  <c r="QO37" i="2" s="1"/>
  <c r="QA26" i="2"/>
  <c r="PU25" i="2"/>
  <c r="PU29" i="2"/>
  <c r="PU17" i="2"/>
  <c r="QA19" i="2"/>
  <c r="PZ37" i="2"/>
  <c r="PZ42" i="2" s="1"/>
  <c r="PU13" i="2"/>
  <c r="PY37" i="2"/>
  <c r="PY42" i="2" s="1"/>
  <c r="QD30" i="2"/>
  <c r="QD37" i="2" s="1"/>
  <c r="AR53" i="1" s="1"/>
  <c r="PU21" i="2"/>
  <c r="PU12" i="2"/>
  <c r="PU24" i="2"/>
  <c r="PU16" i="2"/>
  <c r="QA12" i="2"/>
  <c r="QA22" i="2"/>
  <c r="QA18" i="2"/>
  <c r="QC30" i="2"/>
  <c r="QC37" i="2" s="1"/>
  <c r="PU27" i="2"/>
  <c r="PU23" i="2"/>
  <c r="QB30" i="2"/>
  <c r="QB37" i="2" s="1"/>
  <c r="QA14" i="2"/>
  <c r="PU20" i="2"/>
  <c r="PU28" i="2"/>
  <c r="PU26" i="2"/>
  <c r="PU22" i="2"/>
  <c r="PU18" i="2"/>
  <c r="PU14" i="2"/>
  <c r="QA28" i="2"/>
  <c r="QA24" i="2"/>
  <c r="QA20" i="2"/>
  <c r="QA16" i="2"/>
  <c r="BL23" i="6"/>
  <c r="JI22" i="17" s="1"/>
  <c r="BL15" i="6"/>
  <c r="JI14" i="17" s="1"/>
  <c r="BL26" i="6"/>
  <c r="JI25" i="17" s="1"/>
  <c r="BL22" i="6"/>
  <c r="JI21" i="17" s="1"/>
  <c r="BL18" i="6"/>
  <c r="JI17" i="17" s="1"/>
  <c r="BL14" i="6"/>
  <c r="JI13" i="17" s="1"/>
  <c r="PW30" i="2"/>
  <c r="PW37" i="2" s="1"/>
  <c r="PX30" i="2"/>
  <c r="PX37" i="2" s="1"/>
  <c r="PV30" i="2"/>
  <c r="PV37" i="2" s="1"/>
  <c r="E26" i="3"/>
  <c r="SS34" i="2" l="1"/>
  <c r="SS30" i="2"/>
  <c r="VA30" i="2"/>
  <c r="JJ28" i="17"/>
  <c r="JJ35" i="17" s="1"/>
  <c r="JK28" i="17"/>
  <c r="JK35" i="17" s="1"/>
  <c r="JI28" i="17"/>
  <c r="JI35" i="17" s="1"/>
  <c r="QL30" i="2"/>
  <c r="QL37" i="2" s="1"/>
  <c r="JO10" i="17"/>
  <c r="JM35" i="17"/>
  <c r="CJ33" i="6"/>
  <c r="VA34" i="2"/>
  <c r="VA37" i="2" s="1"/>
  <c r="F22" i="11" s="1"/>
  <c r="PZ38" i="2"/>
  <c r="F476" i="8" s="1"/>
  <c r="F477" i="8" s="1"/>
  <c r="UT37" i="2"/>
  <c r="E22" i="11" s="1"/>
  <c r="CJ29" i="6"/>
  <c r="C57" i="7"/>
  <c r="F16" i="11"/>
  <c r="QG17" i="2"/>
  <c r="PY38" i="2"/>
  <c r="F473" i="8" s="1"/>
  <c r="F474" i="8" s="1"/>
  <c r="QG15" i="2"/>
  <c r="QG13" i="2"/>
  <c r="UP37" i="2"/>
  <c r="E53" i="11" s="1"/>
  <c r="QG19" i="2"/>
  <c r="QG21" i="2"/>
  <c r="QG29" i="2"/>
  <c r="QG27" i="2"/>
  <c r="QG25" i="2"/>
  <c r="ST37" i="2"/>
  <c r="QG23" i="2"/>
  <c r="SV37" i="2"/>
  <c r="QG14" i="2"/>
  <c r="QG22" i="2"/>
  <c r="QG12" i="2"/>
  <c r="QG20" i="2"/>
  <c r="QG16" i="2"/>
  <c r="QG24" i="2"/>
  <c r="QG28" i="2"/>
  <c r="QG18" i="2"/>
  <c r="QG26" i="2"/>
  <c r="QM30" i="2"/>
  <c r="QM37" i="2" s="1"/>
  <c r="QH30" i="2"/>
  <c r="QH37" i="2" s="1"/>
  <c r="QJ12" i="2"/>
  <c r="QJ30" i="2" s="1"/>
  <c r="QJ37" i="2" s="1"/>
  <c r="QP30" i="2"/>
  <c r="QP37" i="2" s="1"/>
  <c r="QI30" i="2"/>
  <c r="QI37" i="2" s="1"/>
  <c r="QK30" i="2"/>
  <c r="QK37" i="2" s="1"/>
  <c r="PW38" i="2"/>
  <c r="PU30" i="2"/>
  <c r="PU37" i="2" s="1"/>
  <c r="PV38" i="2"/>
  <c r="E473" i="8" s="1"/>
  <c r="E474" i="8" s="1"/>
  <c r="QA30" i="2"/>
  <c r="QA37" i="2" s="1"/>
  <c r="N53" i="1" s="1"/>
  <c r="EI40" i="2"/>
  <c r="SS37" i="2" l="1"/>
  <c r="PU38" i="2"/>
  <c r="JO28" i="17"/>
  <c r="JO35" i="17" s="1"/>
  <c r="JM36" i="17" s="1"/>
  <c r="JI36" i="17"/>
  <c r="CJ36" i="6"/>
  <c r="VA42" i="2"/>
  <c r="C37" i="7"/>
  <c r="H24" i="11"/>
  <c r="G24" i="11"/>
  <c r="G22" i="11" s="1"/>
  <c r="B57" i="7"/>
  <c r="E16" i="11"/>
  <c r="QG30" i="2"/>
  <c r="QG37" i="2" s="1"/>
  <c r="B37" i="7"/>
  <c r="E476" i="8"/>
  <c r="E477" i="8" s="1"/>
  <c r="H477" i="8" s="1"/>
  <c r="BM33" i="6"/>
  <c r="BL33" i="6"/>
  <c r="BM29" i="6"/>
  <c r="BL29" i="6"/>
  <c r="H474" i="8"/>
  <c r="G474" i="8"/>
  <c r="J473" i="8"/>
  <c r="G473" i="8"/>
  <c r="I473" i="8" s="1"/>
  <c r="SJ30" i="2"/>
  <c r="O30" i="2"/>
  <c r="I474" i="8" l="1"/>
  <c r="I24" i="11"/>
  <c r="G16" i="11"/>
  <c r="I16" i="11" s="1"/>
  <c r="H16" i="11"/>
  <c r="BM36" i="6"/>
  <c r="G476" i="8"/>
  <c r="H478" i="8"/>
  <c r="BL36" i="6"/>
  <c r="H475" i="8"/>
  <c r="G475" i="8"/>
  <c r="I475" i="8" s="1"/>
  <c r="H473" i="8"/>
  <c r="H476" i="8"/>
  <c r="H191" i="8"/>
  <c r="H188" i="8"/>
  <c r="J187" i="8"/>
  <c r="I478" i="8" l="1"/>
  <c r="G477" i="8"/>
  <c r="I477" i="8" s="1"/>
  <c r="H189" i="8"/>
  <c r="I476" i="8"/>
  <c r="I189" i="8"/>
  <c r="G190" i="8"/>
  <c r="H192" i="8"/>
  <c r="H187" i="8"/>
  <c r="G187" i="8"/>
  <c r="H190" i="8"/>
  <c r="I187" i="8" l="1"/>
  <c r="G188" i="8"/>
  <c r="I188" i="8" s="1"/>
  <c r="I192" i="8"/>
  <c r="G191" i="8"/>
  <c r="I191" i="8" s="1"/>
  <c r="I190" i="8"/>
  <c r="AL29" i="3" l="1"/>
  <c r="AL28" i="3"/>
  <c r="AL9" i="3"/>
  <c r="AL10" i="3"/>
  <c r="AL11" i="3"/>
  <c r="AL12" i="3"/>
  <c r="AL13" i="3"/>
  <c r="AL14" i="3"/>
  <c r="AL15" i="3"/>
  <c r="AL16" i="3"/>
  <c r="AL17" i="3"/>
  <c r="AL18" i="3"/>
  <c r="AL19" i="3"/>
  <c r="AL20" i="3"/>
  <c r="AL21" i="3"/>
  <c r="AL22" i="3"/>
  <c r="AL23" i="3"/>
  <c r="AL24" i="3"/>
  <c r="AL25" i="3"/>
  <c r="AL8" i="3"/>
  <c r="AM30" i="3"/>
  <c r="AM26" i="3"/>
  <c r="AL30" i="3" l="1"/>
  <c r="AM33" i="3"/>
  <c r="AM38" i="3" s="1"/>
  <c r="F199" i="8" s="1"/>
  <c r="F194" i="8" s="1"/>
  <c r="F197" i="8" s="1"/>
  <c r="AL26" i="3"/>
  <c r="D194" i="8"/>
  <c r="H201" i="8"/>
  <c r="G201" i="8"/>
  <c r="H200" i="8"/>
  <c r="G200" i="8"/>
  <c r="D202" i="8"/>
  <c r="I198" i="8"/>
  <c r="H198" i="8"/>
  <c r="I201" i="8" l="1"/>
  <c r="G196" i="8"/>
  <c r="I200" i="8"/>
  <c r="G195" i="8"/>
  <c r="H205" i="8"/>
  <c r="I195" i="8"/>
  <c r="F202" i="8"/>
  <c r="AL33" i="3"/>
  <c r="AL38" i="3" s="1"/>
  <c r="E199" i="8" s="1"/>
  <c r="D197" i="8"/>
  <c r="H195" i="8"/>
  <c r="G29" i="4"/>
  <c r="F29" i="4"/>
  <c r="E29" i="4"/>
  <c r="D29" i="4"/>
  <c r="C29" i="4"/>
  <c r="B29" i="4"/>
  <c r="G9" i="4"/>
  <c r="G10" i="4"/>
  <c r="G11" i="4"/>
  <c r="G12" i="4"/>
  <c r="G13" i="4"/>
  <c r="G14" i="4"/>
  <c r="G16" i="4"/>
  <c r="G17" i="4"/>
  <c r="G19" i="4"/>
  <c r="G20" i="4"/>
  <c r="G21" i="4"/>
  <c r="G22" i="4"/>
  <c r="G24" i="4"/>
  <c r="G25" i="4"/>
  <c r="G8" i="4"/>
  <c r="AV9" i="4"/>
  <c r="AV10" i="4"/>
  <c r="AV11" i="4"/>
  <c r="AV12" i="4"/>
  <c r="AV13" i="4"/>
  <c r="AV14" i="4"/>
  <c r="AV15" i="4"/>
  <c r="AV16" i="4"/>
  <c r="AV17" i="4"/>
  <c r="AV18" i="4"/>
  <c r="AV19" i="4"/>
  <c r="AV20" i="4"/>
  <c r="AV21" i="4"/>
  <c r="AV22" i="4"/>
  <c r="AV23" i="4"/>
  <c r="AV24" i="4"/>
  <c r="AV25" i="4"/>
  <c r="AV8" i="4"/>
  <c r="AR9" i="4"/>
  <c r="AR10" i="4"/>
  <c r="AR11" i="4"/>
  <c r="AR12" i="4"/>
  <c r="AR13" i="4"/>
  <c r="AR14" i="4"/>
  <c r="AR15" i="4"/>
  <c r="AR16" i="4"/>
  <c r="AR17" i="4"/>
  <c r="AR18" i="4"/>
  <c r="AR19" i="4"/>
  <c r="AR20" i="4"/>
  <c r="AR21" i="4"/>
  <c r="AR22" i="4"/>
  <c r="AR23" i="4"/>
  <c r="AR24" i="4"/>
  <c r="AR25" i="4"/>
  <c r="AR8" i="4"/>
  <c r="AW26" i="4"/>
  <c r="AS26" i="4"/>
  <c r="AK36" i="3" s="1"/>
  <c r="AU25" i="4"/>
  <c r="AU24" i="4"/>
  <c r="AU23" i="4"/>
  <c r="AU22" i="4"/>
  <c r="AU21" i="4"/>
  <c r="AU20" i="4"/>
  <c r="AU19" i="4"/>
  <c r="AU18" i="4"/>
  <c r="AU17" i="4"/>
  <c r="AU16" i="4"/>
  <c r="AU15" i="4"/>
  <c r="AU14" i="4"/>
  <c r="AU13" i="4"/>
  <c r="AU12" i="4"/>
  <c r="AU11" i="4"/>
  <c r="AU10" i="4"/>
  <c r="AU9" i="4"/>
  <c r="AU8" i="4"/>
  <c r="AJ29" i="3"/>
  <c r="AJ28" i="3"/>
  <c r="AJ9" i="3"/>
  <c r="AJ10" i="3"/>
  <c r="AJ11" i="3"/>
  <c r="AJ12" i="3"/>
  <c r="AJ13" i="3"/>
  <c r="AJ14" i="3"/>
  <c r="AJ15" i="3"/>
  <c r="AJ16" i="3"/>
  <c r="AJ17" i="3"/>
  <c r="AJ18" i="3"/>
  <c r="AJ19" i="3"/>
  <c r="AJ20" i="3"/>
  <c r="AJ21" i="3"/>
  <c r="AJ22" i="3"/>
  <c r="AJ23" i="3"/>
  <c r="AJ24" i="3"/>
  <c r="AJ25" i="3"/>
  <c r="AJ8" i="3"/>
  <c r="AK30" i="3"/>
  <c r="AK26" i="3"/>
  <c r="AU26" i="4" l="1"/>
  <c r="AT21" i="4"/>
  <c r="AV26" i="4"/>
  <c r="AT17" i="4"/>
  <c r="AT13" i="4"/>
  <c r="AT16" i="4"/>
  <c r="AT25" i="4"/>
  <c r="AT9" i="4"/>
  <c r="AJ30" i="3"/>
  <c r="AJ26" i="3"/>
  <c r="AT22" i="4"/>
  <c r="AT18" i="4"/>
  <c r="AT14" i="4"/>
  <c r="AR26" i="4"/>
  <c r="AJ36" i="3" s="1"/>
  <c r="AT23" i="4"/>
  <c r="AT19" i="4"/>
  <c r="AT15" i="4"/>
  <c r="AT11" i="4"/>
  <c r="AT24" i="4"/>
  <c r="AT20" i="4"/>
  <c r="AT12" i="4"/>
  <c r="AT10" i="4"/>
  <c r="AT8" i="4"/>
  <c r="AK33" i="3"/>
  <c r="AK38" i="3" s="1"/>
  <c r="AJ33" i="3" l="1"/>
  <c r="AJ38" i="3" s="1"/>
  <c r="E146" i="8" s="1"/>
  <c r="AK40" i="3"/>
  <c r="F146" i="8"/>
  <c r="AT26" i="4"/>
  <c r="D165" i="8"/>
  <c r="D20" i="11"/>
  <c r="UU33" i="2"/>
  <c r="UU32" i="2"/>
  <c r="UU13" i="2"/>
  <c r="UU14" i="2"/>
  <c r="UU15" i="2"/>
  <c r="UU16" i="2"/>
  <c r="UU17" i="2"/>
  <c r="UU18" i="2"/>
  <c r="UU19" i="2"/>
  <c r="UU20" i="2"/>
  <c r="UU21" i="2"/>
  <c r="UU22" i="2"/>
  <c r="UU23" i="2"/>
  <c r="UU24" i="2"/>
  <c r="UU25" i="2"/>
  <c r="UU26" i="2"/>
  <c r="UU27" i="2"/>
  <c r="UU28" i="2"/>
  <c r="UU29" i="2"/>
  <c r="UU12" i="2"/>
  <c r="UY34" i="2"/>
  <c r="UY30" i="2"/>
  <c r="D8" i="11"/>
  <c r="D29" i="11"/>
  <c r="D13" i="11" l="1"/>
  <c r="D60" i="11"/>
  <c r="VB33" i="2"/>
  <c r="VB23" i="2"/>
  <c r="VB20" i="2"/>
  <c r="VB16" i="2"/>
  <c r="VB32" i="2"/>
  <c r="VB27" i="2"/>
  <c r="VB19" i="2"/>
  <c r="VB24" i="2"/>
  <c r="VB25" i="2"/>
  <c r="VB21" i="2"/>
  <c r="VB17" i="2"/>
  <c r="VB13" i="2"/>
  <c r="VB15" i="2"/>
  <c r="VB28" i="2"/>
  <c r="VB29" i="2"/>
  <c r="VB12" i="2"/>
  <c r="VB26" i="2"/>
  <c r="VB22" i="2"/>
  <c r="VB18" i="2"/>
  <c r="VB14" i="2"/>
  <c r="VB34" i="2"/>
  <c r="UU34" i="2"/>
  <c r="UU30" i="2"/>
  <c r="VB30" i="2" l="1"/>
  <c r="VB37" i="2" s="1"/>
  <c r="F10" i="11" s="1"/>
  <c r="UV18" i="2"/>
  <c r="UV26" i="2"/>
  <c r="UV29" i="2"/>
  <c r="UV15" i="2"/>
  <c r="UV17" i="2"/>
  <c r="UV25" i="2"/>
  <c r="UV19" i="2"/>
  <c r="UV32" i="2"/>
  <c r="UV20" i="2"/>
  <c r="UV33" i="2"/>
  <c r="UV14" i="2"/>
  <c r="UV22" i="2"/>
  <c r="UV12" i="2"/>
  <c r="UV28" i="2"/>
  <c r="UV13" i="2"/>
  <c r="UV21" i="2"/>
  <c r="UV24" i="2"/>
  <c r="UV27" i="2"/>
  <c r="UV16" i="2"/>
  <c r="UV23" i="2"/>
  <c r="UU37" i="2"/>
  <c r="E10" i="11" s="1"/>
  <c r="UV34" i="2" l="1"/>
  <c r="UV30" i="2"/>
  <c r="VB42" i="2"/>
  <c r="H10" i="11"/>
  <c r="G10" i="11"/>
  <c r="I10" i="11" s="1"/>
  <c r="D297" i="8"/>
  <c r="UV37" i="2" l="1"/>
  <c r="CN32" i="17"/>
  <c r="CM32" i="17"/>
  <c r="CJ32" i="17"/>
  <c r="CI32" i="17"/>
  <c r="CN28" i="17"/>
  <c r="CN35" i="17" s="1"/>
  <c r="CM28" i="17"/>
  <c r="CJ28" i="17"/>
  <c r="CJ35" i="17" s="1"/>
  <c r="CI28" i="17"/>
  <c r="CI35" i="17" s="1"/>
  <c r="GW18" i="2"/>
  <c r="GX18" i="2"/>
  <c r="CM35" i="17" l="1"/>
  <c r="C10" i="4"/>
  <c r="C25" i="4"/>
  <c r="AG22" i="4"/>
  <c r="AG21" i="4"/>
  <c r="C13" i="4" l="1"/>
  <c r="C8" i="4"/>
  <c r="C12" i="4"/>
  <c r="C14" i="4"/>
  <c r="C22" i="4"/>
  <c r="C21" i="4"/>
  <c r="C16" i="4"/>
  <c r="C20" i="4"/>
  <c r="C11" i="4"/>
  <c r="C15" i="4"/>
  <c r="C9" i="4"/>
  <c r="AG23" i="4"/>
  <c r="AG24" i="4"/>
  <c r="C24" i="4" s="1"/>
  <c r="RN30" i="2" l="1"/>
  <c r="D69" i="8" l="1"/>
  <c r="D66" i="8"/>
  <c r="D110" i="8"/>
  <c r="D458" i="8"/>
  <c r="D204" i="8"/>
  <c r="D207" i="8" s="1"/>
  <c r="D363" i="8"/>
  <c r="D335" i="8" s="1"/>
  <c r="D371" i="8" l="1"/>
  <c r="D370" i="8" s="1"/>
  <c r="E457" i="8"/>
  <c r="I13" i="16"/>
  <c r="G13" i="16" s="1"/>
  <c r="C13" i="16"/>
  <c r="F13" i="16" s="1"/>
  <c r="DO40" i="2"/>
  <c r="FI40" i="2"/>
  <c r="ME14" i="2"/>
  <c r="ME15" i="2"/>
  <c r="ME16" i="2"/>
  <c r="ME17" i="2"/>
  <c r="ME18" i="2"/>
  <c r="ME19" i="2"/>
  <c r="ME20" i="2"/>
  <c r="ME21" i="2"/>
  <c r="ME22" i="2"/>
  <c r="ME23" i="2"/>
  <c r="ME24" i="2"/>
  <c r="ME25" i="2"/>
  <c r="ME26" i="2"/>
  <c r="ME27" i="2"/>
  <c r="ME28" i="2"/>
  <c r="ME29" i="2"/>
  <c r="ME13" i="2"/>
  <c r="MD14" i="2"/>
  <c r="MD15" i="2"/>
  <c r="MD16" i="2"/>
  <c r="MD17" i="2"/>
  <c r="MD18" i="2"/>
  <c r="MD19" i="2"/>
  <c r="MD20" i="2"/>
  <c r="MD21" i="2"/>
  <c r="MD22" i="2"/>
  <c r="MD23" i="2"/>
  <c r="MD24" i="2"/>
  <c r="MD25" i="2"/>
  <c r="MD26" i="2"/>
  <c r="MD27" i="2"/>
  <c r="MD28" i="2"/>
  <c r="MD29" i="2"/>
  <c r="MD13" i="2"/>
  <c r="AK15" i="4"/>
  <c r="G15" i="4" s="1"/>
  <c r="H13" i="16" l="1"/>
  <c r="UM40" i="2"/>
  <c r="UL40" i="2" s="1"/>
  <c r="SR34" i="2"/>
  <c r="SR30" i="2"/>
  <c r="SR37" i="2" l="1"/>
  <c r="UE40" i="2"/>
  <c r="AH13" i="2" l="1"/>
  <c r="AH14" i="2"/>
  <c r="AH15" i="2"/>
  <c r="AH16" i="2"/>
  <c r="AH17" i="2"/>
  <c r="AH18" i="2"/>
  <c r="AH19" i="2"/>
  <c r="AH20" i="2"/>
  <c r="AH21" i="2"/>
  <c r="AH22" i="2"/>
  <c r="AH23" i="2"/>
  <c r="AH24" i="2"/>
  <c r="AH25" i="2"/>
  <c r="AH26" i="2"/>
  <c r="AH27" i="2"/>
  <c r="AH28" i="2"/>
  <c r="AH29" i="2"/>
  <c r="AH12" i="2"/>
  <c r="WH18" i="2" l="1"/>
  <c r="WG18" i="2"/>
  <c r="AL8" i="4" l="1"/>
  <c r="AO8" i="4"/>
  <c r="AP8" i="4"/>
  <c r="AL9" i="4"/>
  <c r="AO9" i="4"/>
  <c r="AP9" i="4"/>
  <c r="AL10" i="4"/>
  <c r="AO10" i="4"/>
  <c r="AP10" i="4"/>
  <c r="AL11" i="4"/>
  <c r="AO11" i="4"/>
  <c r="AP11" i="4"/>
  <c r="AL12" i="4"/>
  <c r="AO12" i="4"/>
  <c r="AP12" i="4"/>
  <c r="AL13" i="4"/>
  <c r="AO13" i="4"/>
  <c r="AP13" i="4"/>
  <c r="AL14" i="4"/>
  <c r="AO14" i="4"/>
  <c r="AP14" i="4"/>
  <c r="AL15" i="4"/>
  <c r="AO15" i="4"/>
  <c r="AP15" i="4"/>
  <c r="AL16" i="4"/>
  <c r="AO16" i="4"/>
  <c r="AP16" i="4"/>
  <c r="AL17" i="4"/>
  <c r="AO17" i="4"/>
  <c r="AP17" i="4"/>
  <c r="AL18" i="4"/>
  <c r="AO18" i="4"/>
  <c r="AP18" i="4"/>
  <c r="AL19" i="4"/>
  <c r="AO19" i="4"/>
  <c r="AP19" i="4"/>
  <c r="AL20" i="4"/>
  <c r="AO20" i="4"/>
  <c r="AP20" i="4"/>
  <c r="AL21" i="4"/>
  <c r="AO21" i="4"/>
  <c r="AP21" i="4"/>
  <c r="AL22" i="4"/>
  <c r="AO22" i="4"/>
  <c r="AP22" i="4"/>
  <c r="AL23" i="4"/>
  <c r="AO23" i="4"/>
  <c r="AP23" i="4"/>
  <c r="AL24" i="4"/>
  <c r="AO24" i="4"/>
  <c r="AP24" i="4"/>
  <c r="AL25" i="4"/>
  <c r="AO25" i="4"/>
  <c r="AP25" i="4"/>
  <c r="AM26" i="4"/>
  <c r="AQ26" i="4"/>
  <c r="AO26" i="4" l="1"/>
  <c r="AN12" i="4"/>
  <c r="AL26" i="4"/>
  <c r="AN24" i="4"/>
  <c r="AN22" i="4"/>
  <c r="AN21" i="4"/>
  <c r="AN15" i="4"/>
  <c r="AN11" i="4"/>
  <c r="AN8" i="4"/>
  <c r="AN18" i="4"/>
  <c r="AN10" i="4"/>
  <c r="AN25" i="4"/>
  <c r="AN13" i="4"/>
  <c r="AN9" i="4"/>
  <c r="AN17" i="4"/>
  <c r="AN20" i="4"/>
  <c r="AN16" i="4"/>
  <c r="AN14" i="4"/>
  <c r="AN23" i="4"/>
  <c r="AN19" i="4"/>
  <c r="AP26" i="4"/>
  <c r="RV32" i="2"/>
  <c r="EW40" i="2"/>
  <c r="EU40" i="2"/>
  <c r="ES40" i="2"/>
  <c r="FC40" i="2"/>
  <c r="FU40" i="2"/>
  <c r="GK40" i="2"/>
  <c r="HU40" i="2"/>
  <c r="NY40" i="2"/>
  <c r="LF40" i="2"/>
  <c r="MM40" i="2"/>
  <c r="OA40" i="2"/>
  <c r="OM40" i="2"/>
  <c r="AN26" i="4" l="1"/>
  <c r="SR40" i="2"/>
  <c r="D467" i="8"/>
  <c r="D32" i="11"/>
  <c r="UR33" i="2" l="1"/>
  <c r="UR32" i="2"/>
  <c r="UR13" i="2"/>
  <c r="UR14" i="2"/>
  <c r="UR15" i="2"/>
  <c r="UR16" i="2"/>
  <c r="UR17" i="2"/>
  <c r="UR18" i="2"/>
  <c r="UR19" i="2"/>
  <c r="UR20" i="2"/>
  <c r="UR21" i="2"/>
  <c r="UR22" i="2"/>
  <c r="UR23" i="2"/>
  <c r="UR24" i="2"/>
  <c r="UR25" i="2"/>
  <c r="UR26" i="2"/>
  <c r="UR27" i="2"/>
  <c r="UR28" i="2"/>
  <c r="UR29" i="2"/>
  <c r="UR12" i="2"/>
  <c r="UR30" i="2" l="1"/>
  <c r="UR34" i="2"/>
  <c r="UY37" i="2"/>
  <c r="VE34" i="2"/>
  <c r="VH34" i="2"/>
  <c r="VQ33" i="2"/>
  <c r="VK33" i="2" s="1"/>
  <c r="VQ32" i="2"/>
  <c r="VO32" i="2" s="1"/>
  <c r="VQ13" i="2"/>
  <c r="VT13" i="2" s="1"/>
  <c r="VQ14" i="2"/>
  <c r="VT14" i="2" s="1"/>
  <c r="VR14" i="2" s="1"/>
  <c r="VQ15" i="2"/>
  <c r="VT15" i="2" s="1"/>
  <c r="VR15" i="2" s="1"/>
  <c r="VQ16" i="2"/>
  <c r="VT16" i="2" s="1"/>
  <c r="VR16" i="2" s="1"/>
  <c r="VQ17" i="2"/>
  <c r="VT17" i="2" s="1"/>
  <c r="VR17" i="2" s="1"/>
  <c r="VQ18" i="2"/>
  <c r="VT18" i="2" s="1"/>
  <c r="VR18" i="2" s="1"/>
  <c r="VQ19" i="2"/>
  <c r="VT19" i="2" s="1"/>
  <c r="VR19" i="2" s="1"/>
  <c r="VQ20" i="2"/>
  <c r="VT20" i="2" s="1"/>
  <c r="VR20" i="2" s="1"/>
  <c r="VQ21" i="2"/>
  <c r="VT21" i="2" s="1"/>
  <c r="VR21" i="2" s="1"/>
  <c r="VQ22" i="2"/>
  <c r="VT22" i="2" s="1"/>
  <c r="VR22" i="2" s="1"/>
  <c r="VQ23" i="2"/>
  <c r="VT23" i="2" s="1"/>
  <c r="VR23" i="2" s="1"/>
  <c r="VQ24" i="2"/>
  <c r="VT24" i="2" s="1"/>
  <c r="VR24" i="2" s="1"/>
  <c r="VQ25" i="2"/>
  <c r="VT25" i="2" s="1"/>
  <c r="VQ26" i="2"/>
  <c r="VT26" i="2" s="1"/>
  <c r="VQ27" i="2"/>
  <c r="VT27" i="2" s="1"/>
  <c r="VR27" i="2" s="1"/>
  <c r="VQ28" i="2"/>
  <c r="VT28" i="2" s="1"/>
  <c r="VR28" i="2" s="1"/>
  <c r="VQ29" i="2"/>
  <c r="VT29" i="2" s="1"/>
  <c r="VR29" i="2" s="1"/>
  <c r="VQ12" i="2"/>
  <c r="VT12" i="2" s="1"/>
  <c r="VR12" i="2" s="1"/>
  <c r="VE13" i="2"/>
  <c r="VE14" i="2"/>
  <c r="VE15" i="2"/>
  <c r="VE16" i="2"/>
  <c r="VE17" i="2"/>
  <c r="VE18" i="2"/>
  <c r="VE19" i="2"/>
  <c r="VE20" i="2"/>
  <c r="VE21" i="2"/>
  <c r="VE22" i="2"/>
  <c r="VE23" i="2"/>
  <c r="VE24" i="2"/>
  <c r="VE25" i="2"/>
  <c r="VE26" i="2"/>
  <c r="VE27" i="2"/>
  <c r="VE28" i="2"/>
  <c r="VE29" i="2"/>
  <c r="VE12" i="2"/>
  <c r="VC33" i="2"/>
  <c r="VC32" i="2"/>
  <c r="VF33" i="2"/>
  <c r="VF32" i="2"/>
  <c r="VN33" i="2"/>
  <c r="VM33" i="2"/>
  <c r="VN32" i="2"/>
  <c r="VM32" i="2"/>
  <c r="VM29" i="2"/>
  <c r="VM28" i="2"/>
  <c r="VM27" i="2"/>
  <c r="VM26" i="2"/>
  <c r="VM25" i="2"/>
  <c r="VM24" i="2"/>
  <c r="VM23" i="2"/>
  <c r="VM22" i="2"/>
  <c r="VM21" i="2"/>
  <c r="VM20" i="2"/>
  <c r="VM19" i="2"/>
  <c r="VM18" i="2"/>
  <c r="VM17" i="2"/>
  <c r="VM16" i="2"/>
  <c r="VM15" i="2"/>
  <c r="VM14" i="2"/>
  <c r="VM13" i="2"/>
  <c r="VM12" i="2"/>
  <c r="VT34" i="2"/>
  <c r="VR33" i="2"/>
  <c r="VR32" i="2"/>
  <c r="VR13" i="2"/>
  <c r="VR25" i="2"/>
  <c r="VH28" i="2" l="1"/>
  <c r="VH24" i="2"/>
  <c r="VH20" i="2"/>
  <c r="VH16" i="2"/>
  <c r="VH29" i="2"/>
  <c r="VH25" i="2"/>
  <c r="VH21" i="2"/>
  <c r="VH17" i="2"/>
  <c r="VH13" i="2"/>
  <c r="VH12" i="2"/>
  <c r="VH26" i="2"/>
  <c r="VH22" i="2"/>
  <c r="VH18" i="2"/>
  <c r="VH14" i="2"/>
  <c r="VH27" i="2"/>
  <c r="VH23" i="2"/>
  <c r="VH19" i="2"/>
  <c r="VH15" i="2"/>
  <c r="VO33" i="2"/>
  <c r="VO34" i="2" s="1"/>
  <c r="F36" i="11"/>
  <c r="UY42" i="2"/>
  <c r="VR26" i="2"/>
  <c r="VT30" i="2"/>
  <c r="VT37" i="2" s="1"/>
  <c r="UR37" i="2"/>
  <c r="E36" i="11" s="1"/>
  <c r="G36" i="11" s="1"/>
  <c r="I36" i="11" s="1"/>
  <c r="VN34" i="2"/>
  <c r="VK20" i="2"/>
  <c r="VK27" i="2"/>
  <c r="VK23" i="2"/>
  <c r="VK15" i="2"/>
  <c r="VK29" i="2"/>
  <c r="VK25" i="2"/>
  <c r="VK21" i="2"/>
  <c r="VK17" i="2"/>
  <c r="VK13" i="2"/>
  <c r="VK32" i="2"/>
  <c r="VK34" i="2" s="1"/>
  <c r="VM30" i="2"/>
  <c r="VM34" i="2"/>
  <c r="VK16" i="2"/>
  <c r="VK12" i="2"/>
  <c r="VE30" i="2"/>
  <c r="VE37" i="2" s="1"/>
  <c r="E11" i="11" s="1"/>
  <c r="E8" i="11" s="1"/>
  <c r="VK26" i="2"/>
  <c r="VK22" i="2"/>
  <c r="VK18" i="2"/>
  <c r="VK14" i="2"/>
  <c r="VK28" i="2"/>
  <c r="VK24" i="2"/>
  <c r="VK19" i="2"/>
  <c r="VC34" i="2"/>
  <c r="VL33" i="2"/>
  <c r="VL32" i="2"/>
  <c r="VN27" i="2" l="1"/>
  <c r="VL27" i="2" s="1"/>
  <c r="VN23" i="2"/>
  <c r="VL23" i="2" s="1"/>
  <c r="VN22" i="2"/>
  <c r="VL22" i="2" s="1"/>
  <c r="VN17" i="2"/>
  <c r="VL17" i="2" s="1"/>
  <c r="VN16" i="2"/>
  <c r="VL16" i="2" s="1"/>
  <c r="VN19" i="2"/>
  <c r="VL19" i="2" s="1"/>
  <c r="VN18" i="2"/>
  <c r="VL18" i="2" s="1"/>
  <c r="VN13" i="2"/>
  <c r="VL13" i="2" s="1"/>
  <c r="VN29" i="2"/>
  <c r="VL29" i="2" s="1"/>
  <c r="VF28" i="2"/>
  <c r="VN14" i="2"/>
  <c r="VL14" i="2" s="1"/>
  <c r="VN12" i="2"/>
  <c r="VL12" i="2" s="1"/>
  <c r="VN25" i="2"/>
  <c r="VL25" i="2" s="1"/>
  <c r="VF24" i="2"/>
  <c r="VN21" i="2"/>
  <c r="VL21" i="2" s="1"/>
  <c r="VN20" i="2"/>
  <c r="VL20" i="2" s="1"/>
  <c r="VF15" i="2"/>
  <c r="VF23" i="2"/>
  <c r="VF18" i="2"/>
  <c r="VF26" i="2"/>
  <c r="VF13" i="2"/>
  <c r="VF21" i="2"/>
  <c r="VF29" i="2"/>
  <c r="VF20" i="2"/>
  <c r="VN28" i="2"/>
  <c r="VL28" i="2" s="1"/>
  <c r="VF19" i="2"/>
  <c r="VF27" i="2"/>
  <c r="VF14" i="2"/>
  <c r="VF22" i="2"/>
  <c r="VF12" i="2"/>
  <c r="VF17" i="2"/>
  <c r="VF25" i="2"/>
  <c r="VF16" i="2"/>
  <c r="VN24" i="2"/>
  <c r="VL24" i="2" s="1"/>
  <c r="VH30" i="2"/>
  <c r="VH37" i="2" s="1"/>
  <c r="VH42" i="2" s="1"/>
  <c r="VN15" i="2"/>
  <c r="VL15" i="2" s="1"/>
  <c r="VN26" i="2"/>
  <c r="VL26" i="2" s="1"/>
  <c r="H36" i="11"/>
  <c r="VL34" i="2"/>
  <c r="VK30" i="2"/>
  <c r="VK37" i="2" s="1"/>
  <c r="VM37" i="2"/>
  <c r="F11" i="11" l="1"/>
  <c r="F8" i="11" s="1"/>
  <c r="VL30" i="2"/>
  <c r="VL37" i="2" s="1"/>
  <c r="VN30" i="2"/>
  <c r="VN37" i="2" s="1"/>
  <c r="D59" i="8"/>
  <c r="C9" i="16" s="1"/>
  <c r="F9" i="16" s="1"/>
  <c r="H58" i="8"/>
  <c r="G58" i="8"/>
  <c r="I58" i="8" s="1"/>
  <c r="DM33" i="2" l="1"/>
  <c r="DM32" i="2"/>
  <c r="DM29" i="2"/>
  <c r="DM28" i="2"/>
  <c r="DM27" i="2"/>
  <c r="DM26" i="2"/>
  <c r="DM25" i="2"/>
  <c r="DM24" i="2"/>
  <c r="DM23" i="2"/>
  <c r="DM22" i="2"/>
  <c r="DM21" i="2"/>
  <c r="DM20" i="2"/>
  <c r="DM19" i="2"/>
  <c r="DM18" i="2"/>
  <c r="DM17" i="2"/>
  <c r="DM16" i="2"/>
  <c r="DM15" i="2"/>
  <c r="DM14" i="2"/>
  <c r="DM13" i="2"/>
  <c r="DM12" i="2"/>
  <c r="DJ33" i="2"/>
  <c r="DJ32" i="2"/>
  <c r="DJ13" i="2"/>
  <c r="DJ14" i="2"/>
  <c r="DJ15" i="2"/>
  <c r="DJ16" i="2"/>
  <c r="DJ17" i="2"/>
  <c r="DJ18" i="2"/>
  <c r="DJ19" i="2"/>
  <c r="DJ20" i="2"/>
  <c r="DJ21" i="2"/>
  <c r="DJ22" i="2"/>
  <c r="DJ23" i="2"/>
  <c r="DJ24" i="2"/>
  <c r="DJ25" i="2"/>
  <c r="DJ26" i="2"/>
  <c r="DJ27" i="2"/>
  <c r="DJ28" i="2"/>
  <c r="DJ29" i="2"/>
  <c r="DJ12" i="2"/>
  <c r="DN34" i="2"/>
  <c r="DN30" i="2"/>
  <c r="DN37" i="2" l="1"/>
  <c r="F57" i="8" s="1"/>
  <c r="F59" i="8" s="1"/>
  <c r="I9" i="16" s="1"/>
  <c r="G9" i="16" s="1"/>
  <c r="DM34" i="2"/>
  <c r="DM30" i="2"/>
  <c r="DJ34" i="2"/>
  <c r="DJ30" i="2"/>
  <c r="DN42" i="2" l="1"/>
  <c r="DM37" i="2"/>
  <c r="DJ37" i="2"/>
  <c r="E57" i="8" s="1"/>
  <c r="H57" i="8" s="1"/>
  <c r="E65" i="8"/>
  <c r="G65" i="8" s="1"/>
  <c r="D64" i="8"/>
  <c r="E59" i="8" l="1"/>
  <c r="G57" i="8"/>
  <c r="I57" i="8" s="1"/>
  <c r="NO40" i="2"/>
  <c r="HO40" i="2"/>
  <c r="JD40" i="2"/>
  <c r="JH40" i="2"/>
  <c r="CZ29" i="2"/>
  <c r="CZ28" i="2"/>
  <c r="CZ27" i="2"/>
  <c r="CZ26" i="2"/>
  <c r="CZ25" i="2"/>
  <c r="CZ24" i="2"/>
  <c r="CZ23" i="2"/>
  <c r="CZ22" i="2"/>
  <c r="CZ21" i="2"/>
  <c r="CZ20" i="2"/>
  <c r="CZ19" i="2"/>
  <c r="CZ18" i="2"/>
  <c r="CZ17" i="2"/>
  <c r="CZ16" i="2"/>
  <c r="CZ15" i="2"/>
  <c r="CZ13" i="2"/>
  <c r="DH13" i="2"/>
  <c r="DH15" i="2"/>
  <c r="DH16" i="2"/>
  <c r="DH17" i="2"/>
  <c r="DH18" i="2"/>
  <c r="DH19" i="2"/>
  <c r="DH20" i="2"/>
  <c r="DH21" i="2"/>
  <c r="DH22" i="2"/>
  <c r="DH23" i="2"/>
  <c r="DH24" i="2"/>
  <c r="DH25" i="2"/>
  <c r="DH26" i="2"/>
  <c r="DH27" i="2"/>
  <c r="DH28" i="2"/>
  <c r="DH29" i="2"/>
  <c r="DH12" i="2"/>
  <c r="G59" i="8" l="1"/>
  <c r="H9" i="16"/>
  <c r="H59" i="8"/>
  <c r="OA34" i="2"/>
  <c r="OA30" i="2"/>
  <c r="NT13" i="2"/>
  <c r="NU13" i="2"/>
  <c r="NT14" i="2"/>
  <c r="NU14" i="2"/>
  <c r="NT15" i="2"/>
  <c r="NU15" i="2"/>
  <c r="NT16" i="2"/>
  <c r="NU16" i="2"/>
  <c r="NT17" i="2"/>
  <c r="NU17" i="2"/>
  <c r="NT18" i="2"/>
  <c r="NU18" i="2"/>
  <c r="NT19" i="2"/>
  <c r="NU19" i="2"/>
  <c r="NT20" i="2"/>
  <c r="NU20" i="2"/>
  <c r="NT21" i="2"/>
  <c r="NU21" i="2"/>
  <c r="NT22" i="2"/>
  <c r="NU22" i="2"/>
  <c r="NT23" i="2"/>
  <c r="NU23" i="2"/>
  <c r="NT24" i="2"/>
  <c r="NU24" i="2"/>
  <c r="NT25" i="2"/>
  <c r="NU25" i="2"/>
  <c r="NT26" i="2"/>
  <c r="NU26" i="2"/>
  <c r="NT27" i="2"/>
  <c r="NU27" i="2"/>
  <c r="NT28" i="2"/>
  <c r="NU28" i="2"/>
  <c r="NT29" i="2"/>
  <c r="NU29" i="2"/>
  <c r="NU12" i="2"/>
  <c r="NT12" i="2"/>
  <c r="NT33" i="2"/>
  <c r="NT32" i="2"/>
  <c r="OA37" i="2" l="1"/>
  <c r="OA42" i="2" s="1"/>
  <c r="I59" i="8"/>
  <c r="J9" i="16"/>
  <c r="NT34" i="2"/>
  <c r="NT30" i="2"/>
  <c r="D466" i="8"/>
  <c r="J461" i="8"/>
  <c r="D463" i="8"/>
  <c r="H462" i="8"/>
  <c r="G462" i="8"/>
  <c r="I462" i="8" s="1"/>
  <c r="OA38" i="2" l="1"/>
  <c r="F461" i="8" s="1"/>
  <c r="C20" i="16"/>
  <c r="F20" i="16" s="1"/>
  <c r="NT37" i="2"/>
  <c r="NT38" i="2" s="1"/>
  <c r="E461" i="8" s="1"/>
  <c r="J463" i="8" l="1"/>
  <c r="D169" i="8"/>
  <c r="D173" i="8"/>
  <c r="IH31" i="17"/>
  <c r="IH30" i="17"/>
  <c r="IH11" i="17"/>
  <c r="IH12" i="17"/>
  <c r="IH13" i="17"/>
  <c r="IH14" i="17"/>
  <c r="IH15" i="17"/>
  <c r="IH16" i="17"/>
  <c r="IH17" i="17"/>
  <c r="IH18" i="17"/>
  <c r="IH19" i="17"/>
  <c r="IH20" i="17"/>
  <c r="IH21" i="17"/>
  <c r="IH22" i="17"/>
  <c r="IH23" i="17"/>
  <c r="IH24" i="17"/>
  <c r="IH25" i="17"/>
  <c r="IH26" i="17"/>
  <c r="IH27" i="17"/>
  <c r="IH10" i="17"/>
  <c r="IJ32" i="17"/>
  <c r="II32" i="17"/>
  <c r="IF32" i="17"/>
  <c r="IE32" i="17"/>
  <c r="IJ28" i="17"/>
  <c r="IF28" i="17"/>
  <c r="II28" i="17"/>
  <c r="IE28" i="17"/>
  <c r="D455" i="8"/>
  <c r="D76" i="8"/>
  <c r="D84" i="8"/>
  <c r="D236" i="8"/>
  <c r="D160" i="8" l="1"/>
  <c r="IH32" i="17"/>
  <c r="IH28" i="17"/>
  <c r="IE35" i="17"/>
  <c r="IJ35" i="17"/>
  <c r="IF35" i="17"/>
  <c r="II35" i="17"/>
  <c r="D85" i="8"/>
  <c r="IH35" i="17" l="1"/>
  <c r="D470" i="8"/>
  <c r="D240" i="8"/>
  <c r="D125" i="8"/>
  <c r="D122" i="8"/>
  <c r="J29" i="11" l="1"/>
  <c r="D70" i="8" l="1"/>
  <c r="FO40" i="2" l="1"/>
  <c r="OC40" i="2"/>
  <c r="SQ40" i="2" l="1"/>
  <c r="D308" i="8" l="1"/>
  <c r="D422" i="8"/>
  <c r="D419" i="8"/>
  <c r="J418" i="8"/>
  <c r="D47" i="8"/>
  <c r="I423" i="8" l="1"/>
  <c r="H420" i="8"/>
  <c r="H423" i="8"/>
  <c r="EQ33" i="2" l="1"/>
  <c r="T32" i="6" s="1"/>
  <c r="CG31" i="17" s="1"/>
  <c r="CH31" i="17" s="1"/>
  <c r="EP33" i="2"/>
  <c r="EQ32" i="2"/>
  <c r="T31" i="6" s="1"/>
  <c r="CG30" i="17" s="1"/>
  <c r="EP32" i="2"/>
  <c r="EP13" i="2"/>
  <c r="EQ13" i="2"/>
  <c r="T12" i="6" s="1"/>
  <c r="CG11" i="17" s="1"/>
  <c r="CH11" i="17" s="1"/>
  <c r="EP14" i="2"/>
  <c r="EQ14" i="2"/>
  <c r="T13" i="6" s="1"/>
  <c r="CG12" i="17" s="1"/>
  <c r="CH12" i="17" s="1"/>
  <c r="EP15" i="2"/>
  <c r="EQ15" i="2"/>
  <c r="T14" i="6" s="1"/>
  <c r="CG13" i="17" s="1"/>
  <c r="CH13" i="17" s="1"/>
  <c r="EP16" i="2"/>
  <c r="EQ16" i="2"/>
  <c r="T15" i="6" s="1"/>
  <c r="CG14" i="17" s="1"/>
  <c r="CH14" i="17" s="1"/>
  <c r="EP17" i="2"/>
  <c r="EQ17" i="2"/>
  <c r="T16" i="6" s="1"/>
  <c r="CG15" i="17" s="1"/>
  <c r="CH15" i="17" s="1"/>
  <c r="EP18" i="2"/>
  <c r="EQ18" i="2"/>
  <c r="T17" i="6" s="1"/>
  <c r="CG16" i="17" s="1"/>
  <c r="CH16" i="17" s="1"/>
  <c r="EP19" i="2"/>
  <c r="EQ19" i="2"/>
  <c r="T18" i="6" s="1"/>
  <c r="CG17" i="17" s="1"/>
  <c r="CH17" i="17" s="1"/>
  <c r="EP20" i="2"/>
  <c r="EQ20" i="2"/>
  <c r="T19" i="6" s="1"/>
  <c r="CG18" i="17" s="1"/>
  <c r="CH18" i="17" s="1"/>
  <c r="EP21" i="2"/>
  <c r="EQ21" i="2"/>
  <c r="T20" i="6" s="1"/>
  <c r="CG19" i="17" s="1"/>
  <c r="CH19" i="17" s="1"/>
  <c r="EP22" i="2"/>
  <c r="EQ22" i="2"/>
  <c r="T21" i="6" s="1"/>
  <c r="CG20" i="17" s="1"/>
  <c r="CH20" i="17" s="1"/>
  <c r="EP23" i="2"/>
  <c r="EQ23" i="2"/>
  <c r="T22" i="6" s="1"/>
  <c r="CG21" i="17" s="1"/>
  <c r="CH21" i="17" s="1"/>
  <c r="EP24" i="2"/>
  <c r="EQ24" i="2"/>
  <c r="T23" i="6" s="1"/>
  <c r="CG22" i="17" s="1"/>
  <c r="CH22" i="17" s="1"/>
  <c r="EP25" i="2"/>
  <c r="EQ25" i="2"/>
  <c r="T24" i="6" s="1"/>
  <c r="CG23" i="17" s="1"/>
  <c r="CH23" i="17" s="1"/>
  <c r="EP26" i="2"/>
  <c r="EQ26" i="2"/>
  <c r="T25" i="6" s="1"/>
  <c r="CG24" i="17" s="1"/>
  <c r="CH24" i="17" s="1"/>
  <c r="EP27" i="2"/>
  <c r="EQ27" i="2"/>
  <c r="T26" i="6" s="1"/>
  <c r="CG25" i="17" s="1"/>
  <c r="CH25" i="17" s="1"/>
  <c r="EP28" i="2"/>
  <c r="EQ28" i="2"/>
  <c r="T27" i="6" s="1"/>
  <c r="CG26" i="17" s="1"/>
  <c r="CH26" i="17" s="1"/>
  <c r="EP29" i="2"/>
  <c r="EQ29" i="2"/>
  <c r="T28" i="6" s="1"/>
  <c r="CG27" i="17" s="1"/>
  <c r="CH27" i="17" s="1"/>
  <c r="EQ12" i="2"/>
  <c r="EP12" i="2"/>
  <c r="U32" i="6"/>
  <c r="CK31" i="17" s="1"/>
  <c r="CL31" i="17" s="1"/>
  <c r="U31" i="6"/>
  <c r="CK30" i="17" s="1"/>
  <c r="U12" i="6"/>
  <c r="CK11" i="17" s="1"/>
  <c r="CL11" i="17" s="1"/>
  <c r="U13" i="6"/>
  <c r="CK12" i="17" s="1"/>
  <c r="CL12" i="17" s="1"/>
  <c r="U14" i="6"/>
  <c r="CK13" i="17" s="1"/>
  <c r="CL13" i="17" s="1"/>
  <c r="U15" i="6"/>
  <c r="CK14" i="17" s="1"/>
  <c r="CL14" i="17" s="1"/>
  <c r="U16" i="6"/>
  <c r="CK15" i="17" s="1"/>
  <c r="CL15" i="17" s="1"/>
  <c r="U17" i="6"/>
  <c r="CK16" i="17" s="1"/>
  <c r="CL16" i="17" s="1"/>
  <c r="U18" i="6"/>
  <c r="CK17" i="17" s="1"/>
  <c r="CL17" i="17" s="1"/>
  <c r="U19" i="6"/>
  <c r="CK18" i="17" s="1"/>
  <c r="CL18" i="17" s="1"/>
  <c r="U20" i="6"/>
  <c r="CK19" i="17" s="1"/>
  <c r="CL19" i="17" s="1"/>
  <c r="U21" i="6"/>
  <c r="CK20" i="17" s="1"/>
  <c r="CL20" i="17" s="1"/>
  <c r="U22" i="6"/>
  <c r="CK21" i="17" s="1"/>
  <c r="CL21" i="17" s="1"/>
  <c r="U23" i="6"/>
  <c r="CK22" i="17" s="1"/>
  <c r="CL22" i="17" s="1"/>
  <c r="U24" i="6"/>
  <c r="CK23" i="17" s="1"/>
  <c r="CL23" i="17" s="1"/>
  <c r="U25" i="6"/>
  <c r="CK24" i="17" s="1"/>
  <c r="CL24" i="17" s="1"/>
  <c r="U26" i="6"/>
  <c r="CK25" i="17" s="1"/>
  <c r="CL25" i="17" s="1"/>
  <c r="U27" i="6"/>
  <c r="CK26" i="17" s="1"/>
  <c r="CL26" i="17" s="1"/>
  <c r="U28" i="6"/>
  <c r="CK27" i="17" s="1"/>
  <c r="CL27" i="17" s="1"/>
  <c r="U11" i="6"/>
  <c r="CK10" i="17" s="1"/>
  <c r="EX34" i="2"/>
  <c r="EW34" i="2"/>
  <c r="EX30" i="2"/>
  <c r="EW30" i="2"/>
  <c r="H465" i="8"/>
  <c r="G465" i="8"/>
  <c r="CL30" i="17" l="1"/>
  <c r="CL32" i="17" s="1"/>
  <c r="CK32" i="17"/>
  <c r="CL10" i="17"/>
  <c r="CL28" i="17" s="1"/>
  <c r="CK28" i="17"/>
  <c r="CH30" i="17"/>
  <c r="CH32" i="17" s="1"/>
  <c r="CG32" i="17"/>
  <c r="U33" i="6"/>
  <c r="I465" i="8"/>
  <c r="EQ34" i="2"/>
  <c r="EX37" i="2"/>
  <c r="EX42" i="2" s="1"/>
  <c r="U29" i="6"/>
  <c r="U36" i="6" s="1"/>
  <c r="EP34" i="2"/>
  <c r="EQ30" i="2"/>
  <c r="EQ37" i="2" s="1"/>
  <c r="T11" i="6"/>
  <c r="T33" i="6"/>
  <c r="EP30" i="2"/>
  <c r="EP37" i="2" s="1"/>
  <c r="E418" i="8" s="1"/>
  <c r="EW37" i="2"/>
  <c r="D460" i="8"/>
  <c r="J467" i="8"/>
  <c r="BI32" i="6"/>
  <c r="IG31" i="17" s="1"/>
  <c r="BI31" i="6"/>
  <c r="IG30" i="17" s="1"/>
  <c r="BI12" i="6"/>
  <c r="IG11" i="17" s="1"/>
  <c r="BI13" i="6"/>
  <c r="IG12" i="17" s="1"/>
  <c r="BI14" i="6"/>
  <c r="IG13" i="17" s="1"/>
  <c r="BI15" i="6"/>
  <c r="IG14" i="17" s="1"/>
  <c r="BI16" i="6"/>
  <c r="IG15" i="17" s="1"/>
  <c r="BI17" i="6"/>
  <c r="IG16" i="17" s="1"/>
  <c r="BI18" i="6"/>
  <c r="IG17" i="17" s="1"/>
  <c r="BI19" i="6"/>
  <c r="IG18" i="17" s="1"/>
  <c r="BI20" i="6"/>
  <c r="IG19" i="17" s="1"/>
  <c r="BI21" i="6"/>
  <c r="IG20" i="17" s="1"/>
  <c r="BI22" i="6"/>
  <c r="IG21" i="17" s="1"/>
  <c r="BI23" i="6"/>
  <c r="IG22" i="17" s="1"/>
  <c r="BI24" i="6"/>
  <c r="IG23" i="17" s="1"/>
  <c r="BI25" i="6"/>
  <c r="IG24" i="17" s="1"/>
  <c r="BI26" i="6"/>
  <c r="IG25" i="17" s="1"/>
  <c r="BI27" i="6"/>
  <c r="IG26" i="17" s="1"/>
  <c r="BI28" i="6"/>
  <c r="IG27" i="17" s="1"/>
  <c r="BI11" i="6"/>
  <c r="IG10" i="17" s="1"/>
  <c r="CK35" i="17" l="1"/>
  <c r="CL35" i="17"/>
  <c r="T29" i="6"/>
  <c r="T36" i="6" s="1"/>
  <c r="CG10" i="17"/>
  <c r="F418" i="8"/>
  <c r="F419" i="8" s="1"/>
  <c r="EW42" i="2"/>
  <c r="IG28" i="17"/>
  <c r="IG32" i="17"/>
  <c r="C13" i="7"/>
  <c r="F421" i="8"/>
  <c r="F422" i="8" s="1"/>
  <c r="B13" i="7"/>
  <c r="E421" i="8"/>
  <c r="E419" i="8"/>
  <c r="G418" i="8"/>
  <c r="BI33" i="6"/>
  <c r="BI29" i="6"/>
  <c r="H459" i="8"/>
  <c r="G459" i="8"/>
  <c r="I459" i="8" s="1"/>
  <c r="H418" i="8" l="1"/>
  <c r="CK36" i="17"/>
  <c r="CG28" i="17"/>
  <c r="CG35" i="17" s="1"/>
  <c r="CH10" i="17"/>
  <c r="CH28" i="17" s="1"/>
  <c r="CH35" i="17" s="1"/>
  <c r="H419" i="8"/>
  <c r="BI36" i="6"/>
  <c r="IG35" i="17"/>
  <c r="IG36" i="17" s="1"/>
  <c r="I420" i="8"/>
  <c r="I418" i="8"/>
  <c r="G419" i="8"/>
  <c r="I419" i="8" s="1"/>
  <c r="G421" i="8"/>
  <c r="H421" i="8"/>
  <c r="E422" i="8"/>
  <c r="H422" i="8" s="1"/>
  <c r="NU33" i="2"/>
  <c r="NU32" i="2"/>
  <c r="OB30" i="2"/>
  <c r="OB34" i="2"/>
  <c r="AQ33" i="2"/>
  <c r="AQ32" i="2"/>
  <c r="AQ13" i="2"/>
  <c r="AQ14" i="2"/>
  <c r="AQ15" i="2"/>
  <c r="AQ16" i="2"/>
  <c r="AQ17" i="2"/>
  <c r="AQ18" i="2"/>
  <c r="AQ19" i="2"/>
  <c r="AQ20" i="2"/>
  <c r="AQ21" i="2"/>
  <c r="AQ22" i="2"/>
  <c r="AQ23" i="2"/>
  <c r="AQ24" i="2"/>
  <c r="AQ25" i="2"/>
  <c r="AQ26" i="2"/>
  <c r="AQ27" i="2"/>
  <c r="AQ28" i="2"/>
  <c r="AQ29" i="2"/>
  <c r="AQ12" i="2"/>
  <c r="AP33" i="2"/>
  <c r="AP32" i="2"/>
  <c r="AP13" i="2"/>
  <c r="AP14" i="2"/>
  <c r="AP15" i="2"/>
  <c r="AP16" i="2"/>
  <c r="AP17" i="2"/>
  <c r="AP18" i="2"/>
  <c r="AP19" i="2"/>
  <c r="AP20" i="2"/>
  <c r="AP21" i="2"/>
  <c r="AP22" i="2"/>
  <c r="AP23" i="2"/>
  <c r="AP24" i="2"/>
  <c r="AP25" i="2"/>
  <c r="AP26" i="2"/>
  <c r="AP27" i="2"/>
  <c r="AP28" i="2"/>
  <c r="AP29" i="2"/>
  <c r="AP12" i="2"/>
  <c r="AV34" i="2"/>
  <c r="AV30" i="2"/>
  <c r="CG36" i="17" l="1"/>
  <c r="OB37" i="2"/>
  <c r="ID25" i="17"/>
  <c r="ID21" i="17"/>
  <c r="ID17" i="17"/>
  <c r="ID13" i="17"/>
  <c r="ID31" i="17"/>
  <c r="ID26" i="17"/>
  <c r="ID22" i="17"/>
  <c r="ID18" i="17"/>
  <c r="ID14" i="17"/>
  <c r="ID30" i="17"/>
  <c r="ID27" i="17"/>
  <c r="ID23" i="17"/>
  <c r="ID19" i="17"/>
  <c r="ID15" i="17"/>
  <c r="ID11" i="17"/>
  <c r="ID10" i="17"/>
  <c r="ID24" i="17"/>
  <c r="ID20" i="17"/>
  <c r="ID16" i="17"/>
  <c r="ID12" i="17"/>
  <c r="G422" i="8"/>
  <c r="I422" i="8" s="1"/>
  <c r="I421" i="8"/>
  <c r="AV37" i="2"/>
  <c r="AV38" i="2" s="1"/>
  <c r="F458" i="8" s="1"/>
  <c r="F460" i="8" s="1"/>
  <c r="F463" i="8"/>
  <c r="NU34" i="2"/>
  <c r="BH23" i="6"/>
  <c r="IC22" i="17" s="1"/>
  <c r="BH19" i="6"/>
  <c r="IC18" i="17" s="1"/>
  <c r="BH26" i="6"/>
  <c r="IC25" i="17" s="1"/>
  <c r="BH22" i="6"/>
  <c r="IC21" i="17" s="1"/>
  <c r="BH18" i="6"/>
  <c r="IC17" i="17" s="1"/>
  <c r="BH14" i="6"/>
  <c r="IC13" i="17" s="1"/>
  <c r="BH32" i="6"/>
  <c r="IC31" i="17" s="1"/>
  <c r="BH27" i="6"/>
  <c r="IC26" i="17" s="1"/>
  <c r="BH15" i="6"/>
  <c r="IC14" i="17" s="1"/>
  <c r="BH28" i="6"/>
  <c r="IC27" i="17" s="1"/>
  <c r="BH24" i="6"/>
  <c r="IC23" i="17" s="1"/>
  <c r="BH20" i="6"/>
  <c r="IC19" i="17" s="1"/>
  <c r="BH16" i="6"/>
  <c r="IC15" i="17" s="1"/>
  <c r="BH12" i="6"/>
  <c r="IC11" i="17" s="1"/>
  <c r="BH31" i="6"/>
  <c r="BH11" i="6"/>
  <c r="IC10" i="17" s="1"/>
  <c r="BH25" i="6"/>
  <c r="IC24" i="17" s="1"/>
  <c r="BH21" i="6"/>
  <c r="IC20" i="17" s="1"/>
  <c r="BH17" i="6"/>
  <c r="IC16" i="17" s="1"/>
  <c r="BH13" i="6"/>
  <c r="IC12" i="17" s="1"/>
  <c r="NU30" i="2"/>
  <c r="AP34" i="2"/>
  <c r="AP30" i="2"/>
  <c r="OB38" i="2" l="1"/>
  <c r="OB42" i="2"/>
  <c r="ID32" i="17"/>
  <c r="ID28" i="17"/>
  <c r="BH33" i="6"/>
  <c r="IC30" i="17"/>
  <c r="IC32" i="17" s="1"/>
  <c r="IC28" i="17"/>
  <c r="NU37" i="2"/>
  <c r="NU38" i="2" s="1"/>
  <c r="BH29" i="6"/>
  <c r="BH36" i="6" s="1"/>
  <c r="AP37" i="2"/>
  <c r="AP38" i="2" s="1"/>
  <c r="E458" i="8" s="1"/>
  <c r="D515" i="8"/>
  <c r="D121" i="8"/>
  <c r="H120" i="8"/>
  <c r="G120" i="8"/>
  <c r="I120" i="8" s="1"/>
  <c r="H119" i="8"/>
  <c r="G119" i="8"/>
  <c r="I119" i="8" s="1"/>
  <c r="F464" i="8" l="1"/>
  <c r="F466" i="8" s="1"/>
  <c r="I20" i="16" s="1"/>
  <c r="G20" i="16" s="1"/>
  <c r="C35" i="7"/>
  <c r="ID35" i="17"/>
  <c r="E463" i="8"/>
  <c r="E464" i="8"/>
  <c r="IC35" i="17"/>
  <c r="B35" i="7"/>
  <c r="G461" i="8"/>
  <c r="H461" i="8"/>
  <c r="E460" i="8"/>
  <c r="H458" i="8"/>
  <c r="G458" i="8"/>
  <c r="I458" i="8" s="1"/>
  <c r="IC36" i="17" l="1"/>
  <c r="G463" i="8"/>
  <c r="I463" i="8" s="1"/>
  <c r="H463" i="8"/>
  <c r="E466" i="8"/>
  <c r="H466" i="8" s="1"/>
  <c r="H464" i="8"/>
  <c r="G464" i="8"/>
  <c r="I461" i="8"/>
  <c r="G460" i="8"/>
  <c r="H460" i="8"/>
  <c r="H10" i="18"/>
  <c r="G10" i="18"/>
  <c r="I10" i="18" s="1"/>
  <c r="I9" i="18"/>
  <c r="H9" i="18"/>
  <c r="F8" i="18"/>
  <c r="F12" i="18" s="1"/>
  <c r="E8" i="18"/>
  <c r="E12" i="18" s="1"/>
  <c r="D8" i="18"/>
  <c r="D12" i="18" s="1"/>
  <c r="D13" i="18" s="1"/>
  <c r="I460" i="8" l="1"/>
  <c r="H20" i="16"/>
  <c r="I464" i="8"/>
  <c r="G466" i="8"/>
  <c r="I466" i="8" s="1"/>
  <c r="G118" i="8"/>
  <c r="I118" i="8" s="1"/>
  <c r="E121" i="8"/>
  <c r="G121" i="8" s="1"/>
  <c r="I121" i="8" s="1"/>
  <c r="F121" i="8"/>
  <c r="H118" i="8"/>
  <c r="H8" i="18"/>
  <c r="H12" i="18" s="1"/>
  <c r="G8" i="18"/>
  <c r="G12" i="18" s="1"/>
  <c r="E20" i="9" s="1"/>
  <c r="H121" i="8" l="1"/>
  <c r="I8" i="18"/>
  <c r="I12" i="18" s="1"/>
  <c r="EX11" i="17" l="1"/>
  <c r="EZ12" i="17"/>
  <c r="EZ13" i="17"/>
  <c r="EZ14" i="17"/>
  <c r="EZ15" i="17"/>
  <c r="EZ16" i="17"/>
  <c r="EX18" i="17"/>
  <c r="EZ18" i="17"/>
  <c r="EZ19" i="17"/>
  <c r="EZ20" i="17"/>
  <c r="EZ21" i="17"/>
  <c r="EX22" i="17"/>
  <c r="EZ22" i="17"/>
  <c r="EZ23" i="17"/>
  <c r="EZ24" i="17"/>
  <c r="EZ26" i="17"/>
  <c r="EX27" i="17"/>
  <c r="EZ27" i="17"/>
  <c r="EX10" i="17"/>
  <c r="EZ10" i="17"/>
  <c r="IP11" i="17" l="1"/>
  <c r="IQ11" i="17"/>
  <c r="IP12" i="17"/>
  <c r="IQ12" i="17"/>
  <c r="IP13" i="17"/>
  <c r="IQ13" i="17"/>
  <c r="IP14" i="17"/>
  <c r="IQ14" i="17"/>
  <c r="IP15" i="17"/>
  <c r="IQ15" i="17"/>
  <c r="IP16" i="17"/>
  <c r="IQ16" i="17"/>
  <c r="IP17" i="17"/>
  <c r="IQ17" i="17"/>
  <c r="IP18" i="17"/>
  <c r="IQ18" i="17"/>
  <c r="IP19" i="17"/>
  <c r="IQ19" i="17"/>
  <c r="IP20" i="17"/>
  <c r="IQ20" i="17"/>
  <c r="IP21" i="17"/>
  <c r="IQ21" i="17"/>
  <c r="IP22" i="17"/>
  <c r="IQ22" i="17"/>
  <c r="IP23" i="17"/>
  <c r="IQ23" i="17"/>
  <c r="IP24" i="17"/>
  <c r="IQ24" i="17"/>
  <c r="IP25" i="17"/>
  <c r="IQ25" i="17"/>
  <c r="IP26" i="17"/>
  <c r="IQ26" i="17"/>
  <c r="IP27" i="17"/>
  <c r="IQ27" i="17"/>
  <c r="IQ10" i="17"/>
  <c r="IP10" i="17"/>
  <c r="HT28" i="17"/>
  <c r="HR28" i="17"/>
  <c r="HD11" i="17"/>
  <c r="HD12" i="17"/>
  <c r="HD13" i="17"/>
  <c r="HD14" i="17"/>
  <c r="HD15" i="17"/>
  <c r="HD16" i="17"/>
  <c r="HD17" i="17"/>
  <c r="HD18" i="17"/>
  <c r="HD19" i="17"/>
  <c r="HD20" i="17"/>
  <c r="HD21" i="17"/>
  <c r="HD22" i="17"/>
  <c r="HD23" i="17"/>
  <c r="HD24" i="17"/>
  <c r="HD25" i="17"/>
  <c r="HD26" i="17"/>
  <c r="HD27" i="17"/>
  <c r="HD10" i="17"/>
  <c r="FH11" i="17"/>
  <c r="FH12" i="17"/>
  <c r="FH13" i="17"/>
  <c r="FH14" i="17"/>
  <c r="FH15" i="17"/>
  <c r="FH16" i="17"/>
  <c r="FH17" i="17"/>
  <c r="FH18" i="17"/>
  <c r="FH19" i="17"/>
  <c r="FH20" i="17"/>
  <c r="FH21" i="17"/>
  <c r="FH22" i="17"/>
  <c r="FH23" i="17"/>
  <c r="FH24" i="17"/>
  <c r="FH25" i="17"/>
  <c r="FH26" i="17"/>
  <c r="FH27" i="17"/>
  <c r="FH10" i="17"/>
  <c r="AH11" i="17"/>
  <c r="AJ11" i="17"/>
  <c r="AH12" i="17"/>
  <c r="AJ12" i="17"/>
  <c r="AH13" i="17"/>
  <c r="AJ13" i="17"/>
  <c r="AH14" i="17"/>
  <c r="AJ14" i="17"/>
  <c r="AH15" i="17"/>
  <c r="AJ15" i="17"/>
  <c r="AH16" i="17"/>
  <c r="AJ16" i="17"/>
  <c r="AH17" i="17"/>
  <c r="AJ17" i="17"/>
  <c r="AH18" i="17"/>
  <c r="AJ18" i="17"/>
  <c r="AH19" i="17"/>
  <c r="AJ19" i="17"/>
  <c r="AH20" i="17"/>
  <c r="AJ20" i="17"/>
  <c r="AH21" i="17"/>
  <c r="AJ21" i="17"/>
  <c r="AH22" i="17"/>
  <c r="AJ22" i="17"/>
  <c r="AH23" i="17"/>
  <c r="AJ23" i="17"/>
  <c r="AH24" i="17"/>
  <c r="AJ24" i="17"/>
  <c r="AH25" i="17"/>
  <c r="AJ25" i="17"/>
  <c r="AH26" i="17"/>
  <c r="AJ26" i="17"/>
  <c r="AH27" i="17"/>
  <c r="AJ27" i="17"/>
  <c r="AJ10" i="17"/>
  <c r="AH10" i="17"/>
  <c r="D128" i="8"/>
  <c r="D114" i="8" s="1"/>
  <c r="D116" i="8" s="1"/>
  <c r="D73" i="8" l="1"/>
  <c r="D48" i="8" s="1"/>
  <c r="D49" i="8" s="1"/>
  <c r="E73" i="8" l="1"/>
  <c r="PN33" i="2"/>
  <c r="PN32" i="2"/>
  <c r="PN29" i="2"/>
  <c r="PN28" i="2"/>
  <c r="PN27" i="2"/>
  <c r="PN26" i="2"/>
  <c r="PN25" i="2"/>
  <c r="PN24" i="2"/>
  <c r="PN23" i="2"/>
  <c r="PN22" i="2"/>
  <c r="PN21" i="2"/>
  <c r="PN20" i="2"/>
  <c r="PN19" i="2"/>
  <c r="PN18" i="2"/>
  <c r="PN17" i="2"/>
  <c r="PN16" i="2"/>
  <c r="PN15" i="2"/>
  <c r="PN14" i="2"/>
  <c r="PN13" i="2"/>
  <c r="PN12" i="2"/>
  <c r="PG33" i="2"/>
  <c r="PG32" i="2"/>
  <c r="OZ33" i="2"/>
  <c r="OZ32" i="2"/>
  <c r="OS33" i="2"/>
  <c r="OS32" i="2"/>
  <c r="OL33" i="2"/>
  <c r="OL32" i="2"/>
  <c r="OL29" i="2"/>
  <c r="OL28" i="2"/>
  <c r="OL27" i="2"/>
  <c r="OL26" i="2"/>
  <c r="OL25" i="2"/>
  <c r="OL24" i="2"/>
  <c r="OL23" i="2"/>
  <c r="OL22" i="2"/>
  <c r="OL21" i="2"/>
  <c r="OL20" i="2"/>
  <c r="OL19" i="2"/>
  <c r="OL18" i="2"/>
  <c r="OL17" i="2"/>
  <c r="OL16" i="2"/>
  <c r="OL15" i="2"/>
  <c r="OL14" i="2"/>
  <c r="OL13" i="2"/>
  <c r="OL12" i="2"/>
  <c r="OE33" i="2"/>
  <c r="OE32" i="2"/>
  <c r="NX33" i="2"/>
  <c r="NX32" i="2"/>
  <c r="NX29" i="2"/>
  <c r="NX28" i="2"/>
  <c r="NX27" i="2"/>
  <c r="NX26" i="2"/>
  <c r="NX25" i="2"/>
  <c r="NX24" i="2"/>
  <c r="NX23" i="2"/>
  <c r="NX22" i="2"/>
  <c r="NX21" i="2"/>
  <c r="NX20" i="2"/>
  <c r="NX19" i="2"/>
  <c r="NX18" i="2"/>
  <c r="NX17" i="2"/>
  <c r="NX16" i="2"/>
  <c r="NX15" i="2"/>
  <c r="NX14" i="2"/>
  <c r="NX13" i="2"/>
  <c r="NX12" i="2"/>
  <c r="ML33" i="2"/>
  <c r="ML32" i="2"/>
  <c r="MG33" i="2"/>
  <c r="MG32" i="2"/>
  <c r="MQ34" i="2" l="1"/>
  <c r="OS34" i="2"/>
  <c r="PN34" i="2"/>
  <c r="ML34" i="2"/>
  <c r="OZ34" i="2"/>
  <c r="ML30" i="2"/>
  <c r="PG34" i="2"/>
  <c r="NX34" i="2"/>
  <c r="OE34" i="2"/>
  <c r="OL30" i="2"/>
  <c r="NX30" i="2"/>
  <c r="NX37" i="2" s="1"/>
  <c r="OL34" i="2"/>
  <c r="PN30" i="2"/>
  <c r="D510" i="8"/>
  <c r="D248" i="8"/>
  <c r="PN37" i="2" l="1"/>
  <c r="ML37" i="2"/>
  <c r="CI32" i="6"/>
  <c r="CI31" i="6"/>
  <c r="CI12" i="6"/>
  <c r="CI13" i="6"/>
  <c r="CI14" i="6"/>
  <c r="CI15" i="6"/>
  <c r="CI16" i="6"/>
  <c r="CI17" i="6"/>
  <c r="CI18" i="6"/>
  <c r="CI19" i="6"/>
  <c r="CI20" i="6"/>
  <c r="CI21" i="6"/>
  <c r="CI22" i="6"/>
  <c r="CI23" i="6"/>
  <c r="CI24" i="6"/>
  <c r="CI25" i="6"/>
  <c r="CI26" i="6"/>
  <c r="CI27" i="6"/>
  <c r="CI28" i="6"/>
  <c r="CI11" i="6"/>
  <c r="SO33" i="2"/>
  <c r="CH32" i="6" s="1"/>
  <c r="SN33" i="2"/>
  <c r="SO32" i="2"/>
  <c r="CH31" i="6" s="1"/>
  <c r="SN32" i="2"/>
  <c r="SN13" i="2"/>
  <c r="SO13" i="2"/>
  <c r="CH12" i="6" s="1"/>
  <c r="SN14" i="2"/>
  <c r="SO14" i="2"/>
  <c r="CH13" i="6" s="1"/>
  <c r="SN15" i="2"/>
  <c r="SO15" i="2"/>
  <c r="CH14" i="6" s="1"/>
  <c r="SN16" i="2"/>
  <c r="SO16" i="2"/>
  <c r="CH15" i="6" s="1"/>
  <c r="SN17" i="2"/>
  <c r="SO17" i="2"/>
  <c r="CH16" i="6" s="1"/>
  <c r="SN18" i="2"/>
  <c r="SO18" i="2"/>
  <c r="CH17" i="6" s="1"/>
  <c r="SN19" i="2"/>
  <c r="SO19" i="2"/>
  <c r="CH18" i="6" s="1"/>
  <c r="SN20" i="2"/>
  <c r="SO20" i="2"/>
  <c r="CH19" i="6" s="1"/>
  <c r="SN21" i="2"/>
  <c r="SO21" i="2"/>
  <c r="SN22" i="2"/>
  <c r="SO22" i="2"/>
  <c r="SN23" i="2"/>
  <c r="SO23" i="2"/>
  <c r="CH22" i="6" s="1"/>
  <c r="SN24" i="2"/>
  <c r="SO24" i="2"/>
  <c r="CH23" i="6" s="1"/>
  <c r="SN25" i="2"/>
  <c r="SO25" i="2"/>
  <c r="CH24" i="6" s="1"/>
  <c r="SN26" i="2"/>
  <c r="SO26" i="2"/>
  <c r="CH25" i="6" s="1"/>
  <c r="SN27" i="2"/>
  <c r="SO27" i="2"/>
  <c r="CH26" i="6" s="1"/>
  <c r="SN28" i="2"/>
  <c r="SO28" i="2"/>
  <c r="CH27" i="6" s="1"/>
  <c r="SN29" i="2"/>
  <c r="SO29" i="2"/>
  <c r="SO12" i="2"/>
  <c r="CH11" i="6" s="1"/>
  <c r="SN12" i="2"/>
  <c r="SQ34" i="2"/>
  <c r="SP33" i="2"/>
  <c r="SP32" i="2"/>
  <c r="SQ30" i="2"/>
  <c r="SP29" i="2"/>
  <c r="SP28" i="2"/>
  <c r="SP27" i="2"/>
  <c r="SP26" i="2"/>
  <c r="SP25" i="2"/>
  <c r="SP24" i="2"/>
  <c r="SP23" i="2"/>
  <c r="SP22" i="2"/>
  <c r="SP21" i="2"/>
  <c r="SP20" i="2"/>
  <c r="SP19" i="2"/>
  <c r="SP18" i="2"/>
  <c r="SP17" i="2"/>
  <c r="SP16" i="2"/>
  <c r="SP15" i="2"/>
  <c r="SP14" i="2"/>
  <c r="SP13" i="2"/>
  <c r="SP12" i="2"/>
  <c r="SO34" i="2" l="1"/>
  <c r="SM22" i="2"/>
  <c r="SQ37" i="2"/>
  <c r="SP34" i="2"/>
  <c r="SM15" i="2"/>
  <c r="SM25" i="2"/>
  <c r="SM17" i="2"/>
  <c r="SM13" i="2"/>
  <c r="SM29" i="2"/>
  <c r="SM21" i="2"/>
  <c r="SM33" i="2"/>
  <c r="SM26" i="2"/>
  <c r="SM18" i="2"/>
  <c r="SM16" i="2"/>
  <c r="SN30" i="2"/>
  <c r="CH21" i="6"/>
  <c r="CH28" i="6"/>
  <c r="CH20" i="6"/>
  <c r="SO30" i="2"/>
  <c r="SM14" i="2"/>
  <c r="SP30" i="2"/>
  <c r="SM12" i="2"/>
  <c r="SM19" i="2"/>
  <c r="SM23" i="2"/>
  <c r="SM27" i="2"/>
  <c r="SM20" i="2"/>
  <c r="SM24" i="2"/>
  <c r="SM28" i="2"/>
  <c r="SM32" i="2"/>
  <c r="SN34" i="2"/>
  <c r="CI29" i="6"/>
  <c r="CI33" i="6"/>
  <c r="CH33" i="6"/>
  <c r="F35" i="11" l="1"/>
  <c r="SR42" i="2"/>
  <c r="F34" i="11"/>
  <c r="SQ42" i="2"/>
  <c r="SO37" i="2"/>
  <c r="B53" i="7" s="1"/>
  <c r="C53" i="7"/>
  <c r="CI36" i="6"/>
  <c r="SP37" i="2"/>
  <c r="SN37" i="2"/>
  <c r="E34" i="11" s="1"/>
  <c r="CH29" i="6"/>
  <c r="CH36" i="6" s="1"/>
  <c r="SM34" i="2"/>
  <c r="SM30" i="2"/>
  <c r="F32" i="11" l="1"/>
  <c r="E35" i="11"/>
  <c r="E32" i="11" s="1"/>
  <c r="SM37" i="2"/>
  <c r="D406" i="8"/>
  <c r="D409" i="8"/>
  <c r="NV13" i="2"/>
  <c r="NW13" i="2"/>
  <c r="IL11" i="17" s="1"/>
  <c r="NV14" i="2"/>
  <c r="NW14" i="2"/>
  <c r="IL12" i="17" s="1"/>
  <c r="NV15" i="2"/>
  <c r="NW15" i="2"/>
  <c r="IL13" i="17" s="1"/>
  <c r="NV17" i="2"/>
  <c r="NW17" i="2"/>
  <c r="IL15" i="17" s="1"/>
  <c r="NV18" i="2"/>
  <c r="NW18" i="2"/>
  <c r="IL16" i="17" s="1"/>
  <c r="NV19" i="2"/>
  <c r="NW19" i="2"/>
  <c r="IL17" i="17" s="1"/>
  <c r="NV20" i="2"/>
  <c r="NW20" i="2"/>
  <c r="IL18" i="17" s="1"/>
  <c r="NV21" i="2"/>
  <c r="NW21" i="2"/>
  <c r="IL19" i="17" s="1"/>
  <c r="NV22" i="2"/>
  <c r="NW22" i="2"/>
  <c r="IL20" i="17" s="1"/>
  <c r="NV23" i="2"/>
  <c r="NW23" i="2"/>
  <c r="IL21" i="17" s="1"/>
  <c r="NV24" i="2"/>
  <c r="NW24" i="2"/>
  <c r="IL22" i="17" s="1"/>
  <c r="NV25" i="2"/>
  <c r="NW25" i="2"/>
  <c r="IL23" i="17" s="1"/>
  <c r="NV26" i="2"/>
  <c r="NW26" i="2"/>
  <c r="IL24" i="17" s="1"/>
  <c r="NV27" i="2"/>
  <c r="NW27" i="2"/>
  <c r="IL25" i="17" s="1"/>
  <c r="NV28" i="2"/>
  <c r="NW28" i="2"/>
  <c r="IL26" i="17" s="1"/>
  <c r="NV29" i="2"/>
  <c r="NW29" i="2"/>
  <c r="IL27" i="17" s="1"/>
  <c r="NW12" i="2"/>
  <c r="IL10" i="17" s="1"/>
  <c r="NV12" i="2"/>
  <c r="D393" i="8" l="1"/>
  <c r="K29" i="17"/>
  <c r="L29" i="17"/>
  <c r="K33" i="17"/>
  <c r="L33" i="17"/>
  <c r="K34" i="17"/>
  <c r="L34" i="17"/>
  <c r="FP32" i="17" l="1"/>
  <c r="FO32" i="17"/>
  <c r="FL32" i="17"/>
  <c r="FK32" i="17"/>
  <c r="G144" i="8"/>
  <c r="D145" i="8"/>
  <c r="C14" i="16" s="1"/>
  <c r="I17" i="16"/>
  <c r="C17" i="16"/>
  <c r="FO28" i="17" l="1"/>
  <c r="FO35" i="17" s="1"/>
  <c r="FL28" i="17" l="1"/>
  <c r="FL35" i="17" s="1"/>
  <c r="FP28" i="17" l="1"/>
  <c r="FP35" i="17" s="1"/>
  <c r="FK28" i="17" l="1"/>
  <c r="FK35" i="17" s="1"/>
  <c r="D68" i="8" l="1"/>
  <c r="C16" i="16" s="1"/>
  <c r="F16" i="16" s="1"/>
  <c r="IR32" i="17"/>
  <c r="IQ32" i="17"/>
  <c r="IN32" i="17"/>
  <c r="IM32" i="17"/>
  <c r="JH32" i="17"/>
  <c r="JG32" i="17"/>
  <c r="JD32" i="17"/>
  <c r="JC32" i="17"/>
  <c r="HL32" i="17"/>
  <c r="HK32" i="17"/>
  <c r="HH32" i="17"/>
  <c r="HG32" i="17"/>
  <c r="IZ32" i="17"/>
  <c r="IY32" i="17"/>
  <c r="IV32" i="17"/>
  <c r="IU32" i="17"/>
  <c r="HT32" i="17"/>
  <c r="HS32" i="17"/>
  <c r="HP32" i="17"/>
  <c r="HO32" i="17"/>
  <c r="HD32" i="17"/>
  <c r="HC32" i="17"/>
  <c r="GZ32" i="17"/>
  <c r="GY32" i="17"/>
  <c r="GV32" i="17"/>
  <c r="GU32" i="17"/>
  <c r="GR32" i="17"/>
  <c r="GQ32" i="17"/>
  <c r="GN32" i="17"/>
  <c r="GM32" i="17"/>
  <c r="GJ32" i="17"/>
  <c r="GI32" i="17"/>
  <c r="FH32" i="17"/>
  <c r="FG32" i="17"/>
  <c r="FD32" i="17"/>
  <c r="FC32" i="17"/>
  <c r="EZ32" i="17"/>
  <c r="EY32" i="17"/>
  <c r="EV32" i="17"/>
  <c r="EU32" i="17"/>
  <c r="ER32" i="17"/>
  <c r="EQ32" i="17"/>
  <c r="EN32" i="17"/>
  <c r="EM32" i="17"/>
  <c r="GF32" i="17"/>
  <c r="GE32" i="17"/>
  <c r="GB32" i="17"/>
  <c r="GA32" i="17"/>
  <c r="EJ32" i="17"/>
  <c r="EI32" i="17"/>
  <c r="EF32" i="17"/>
  <c r="EE32" i="17"/>
  <c r="EB32" i="17"/>
  <c r="EA32" i="17"/>
  <c r="DX32" i="17"/>
  <c r="DW32" i="17"/>
  <c r="DT32" i="17"/>
  <c r="DS32" i="17"/>
  <c r="DP32" i="17"/>
  <c r="DO32" i="17"/>
  <c r="DL32" i="17"/>
  <c r="DK32" i="17"/>
  <c r="DH32" i="17"/>
  <c r="DG32" i="17"/>
  <c r="DD32" i="17"/>
  <c r="DC32" i="17"/>
  <c r="CZ32" i="17"/>
  <c r="CY32" i="17"/>
  <c r="CV32" i="17"/>
  <c r="CU32" i="17"/>
  <c r="CR32" i="17"/>
  <c r="CQ32" i="17"/>
  <c r="CF32" i="17"/>
  <c r="CE32" i="17"/>
  <c r="CB32" i="17"/>
  <c r="CA32" i="17"/>
  <c r="BX32" i="17"/>
  <c r="BW32" i="17"/>
  <c r="BT32" i="17"/>
  <c r="BS32" i="17"/>
  <c r="BP32" i="17"/>
  <c r="BO32" i="17"/>
  <c r="BL32" i="17"/>
  <c r="BK32" i="17"/>
  <c r="BH32" i="17"/>
  <c r="BG32" i="17"/>
  <c r="BD32" i="17"/>
  <c r="BC32" i="17"/>
  <c r="AZ32" i="17"/>
  <c r="AY32" i="17"/>
  <c r="AV32" i="17"/>
  <c r="AU32" i="17"/>
  <c r="AR32" i="17"/>
  <c r="AQ32" i="17"/>
  <c r="AN32" i="17"/>
  <c r="AM32" i="17"/>
  <c r="AJ32" i="17"/>
  <c r="AI32" i="17"/>
  <c r="AF32" i="17"/>
  <c r="AE32" i="17"/>
  <c r="AB32" i="17"/>
  <c r="AA32" i="17"/>
  <c r="X32" i="17"/>
  <c r="W32" i="17"/>
  <c r="GT31" i="17"/>
  <c r="GP31" i="17"/>
  <c r="I31" i="17"/>
  <c r="H31" i="17"/>
  <c r="E31" i="17"/>
  <c r="D31" i="17"/>
  <c r="H30" i="17"/>
  <c r="D30" i="17"/>
  <c r="I30" i="17"/>
  <c r="HJ28" i="17"/>
  <c r="HF28" i="17"/>
  <c r="IZ28" i="17"/>
  <c r="IZ35" i="17" s="1"/>
  <c r="IY28" i="17"/>
  <c r="IX28" i="17"/>
  <c r="IV28" i="17"/>
  <c r="IV35" i="17" s="1"/>
  <c r="IU28" i="17"/>
  <c r="IU35" i="17" s="1"/>
  <c r="IT28" i="17"/>
  <c r="HN28" i="17"/>
  <c r="HC28" i="17"/>
  <c r="HB28" i="17"/>
  <c r="GY28" i="17"/>
  <c r="GX28" i="17"/>
  <c r="GV28" i="17"/>
  <c r="GV35" i="17" s="1"/>
  <c r="GU28" i="17"/>
  <c r="GT28" i="17"/>
  <c r="GR28" i="17"/>
  <c r="GR35" i="17" s="1"/>
  <c r="GQ28" i="17"/>
  <c r="GP28" i="17"/>
  <c r="GN28" i="17"/>
  <c r="GN35" i="17" s="1"/>
  <c r="GM28" i="17"/>
  <c r="GJ28" i="17"/>
  <c r="GJ35" i="17" s="1"/>
  <c r="GI28" i="17"/>
  <c r="GI35" i="17" s="1"/>
  <c r="FF28" i="17"/>
  <c r="FB28" i="17"/>
  <c r="ER28" i="17"/>
  <c r="ER35" i="17" s="1"/>
  <c r="EQ28" i="17"/>
  <c r="EP28" i="17"/>
  <c r="EN28" i="17"/>
  <c r="EN35" i="17" s="1"/>
  <c r="EM28" i="17"/>
  <c r="EL28" i="17"/>
  <c r="GF28" i="17"/>
  <c r="GF35" i="17" s="1"/>
  <c r="GB28" i="17"/>
  <c r="EB28" i="17"/>
  <c r="EB35" i="17" s="1"/>
  <c r="EA28" i="17"/>
  <c r="DX28" i="17"/>
  <c r="DX35" i="17" s="1"/>
  <c r="DW28" i="17"/>
  <c r="DS28" i="17"/>
  <c r="DR28" i="17"/>
  <c r="DO28" i="17"/>
  <c r="DN28" i="17"/>
  <c r="DL28" i="17"/>
  <c r="DL35" i="17" s="1"/>
  <c r="DK28" i="17"/>
  <c r="DH28" i="17"/>
  <c r="DG28" i="17"/>
  <c r="DD28" i="17"/>
  <c r="DD35" i="17" s="1"/>
  <c r="DC28" i="17"/>
  <c r="CZ28" i="17"/>
  <c r="CZ35" i="17" s="1"/>
  <c r="CY28" i="17"/>
  <c r="CV28" i="17"/>
  <c r="CV35" i="17" s="1"/>
  <c r="CU28" i="17"/>
  <c r="CT28" i="17"/>
  <c r="CR28" i="17"/>
  <c r="CR35" i="17" s="1"/>
  <c r="CQ28" i="17"/>
  <c r="CP28" i="17"/>
  <c r="CF28" i="17"/>
  <c r="CF35" i="17" s="1"/>
  <c r="CE28" i="17"/>
  <c r="CB28" i="17"/>
  <c r="CA28" i="17"/>
  <c r="BX28" i="17"/>
  <c r="BX35" i="17" s="1"/>
  <c r="BW28" i="17"/>
  <c r="BT28" i="17"/>
  <c r="BS28" i="17"/>
  <c r="BP28" i="17"/>
  <c r="BP35" i="17" s="1"/>
  <c r="BO28" i="17"/>
  <c r="BL28" i="17"/>
  <c r="BL35" i="17" s="1"/>
  <c r="BK28" i="17"/>
  <c r="BH28" i="17"/>
  <c r="BH35" i="17" s="1"/>
  <c r="BG28" i="17"/>
  <c r="BD28" i="17"/>
  <c r="BD35" i="17" s="1"/>
  <c r="BC28" i="17"/>
  <c r="AZ28" i="17"/>
  <c r="AZ35" i="17" s="1"/>
  <c r="AY28" i="17"/>
  <c r="AV28" i="17"/>
  <c r="AV35" i="17" s="1"/>
  <c r="AU28" i="17"/>
  <c r="AR28" i="17"/>
  <c r="AR35" i="17" s="1"/>
  <c r="AQ28" i="17"/>
  <c r="AN28" i="17"/>
  <c r="AN35" i="17" s="1"/>
  <c r="AM28" i="17"/>
  <c r="AM35" i="17" s="1"/>
  <c r="AB28" i="17"/>
  <c r="AB35" i="17" s="1"/>
  <c r="AA28" i="17"/>
  <c r="AA35" i="17" s="1"/>
  <c r="X28" i="17"/>
  <c r="X35" i="17" s="1"/>
  <c r="W28" i="17"/>
  <c r="GE28" i="17"/>
  <c r="E21" i="16"/>
  <c r="D21" i="16"/>
  <c r="G17" i="16"/>
  <c r="F17" i="16"/>
  <c r="F14" i="16"/>
  <c r="CQ35" i="17" l="1"/>
  <c r="EM35" i="17"/>
  <c r="GQ35" i="17"/>
  <c r="CY35" i="17"/>
  <c r="DG35" i="17"/>
  <c r="DO35" i="17"/>
  <c r="GY35" i="17"/>
  <c r="EF28" i="17"/>
  <c r="EF35" i="17" s="1"/>
  <c r="GE35" i="17"/>
  <c r="AH28" i="17"/>
  <c r="EJ28" i="17"/>
  <c r="EJ35" i="17" s="1"/>
  <c r="AQ35" i="17"/>
  <c r="AY35" i="17"/>
  <c r="BG35" i="17"/>
  <c r="BO35" i="17"/>
  <c r="BW35" i="17"/>
  <c r="CE35" i="17"/>
  <c r="DK35" i="17"/>
  <c r="EA35" i="17"/>
  <c r="JC28" i="17"/>
  <c r="JC35" i="17" s="1"/>
  <c r="GB35" i="17"/>
  <c r="DH35" i="17"/>
  <c r="CB35" i="17"/>
  <c r="BT35" i="17"/>
  <c r="D32" i="17"/>
  <c r="E30" i="17"/>
  <c r="E32" i="17" s="1"/>
  <c r="IQ28" i="17"/>
  <c r="IQ35" i="17" s="1"/>
  <c r="GO32" i="17"/>
  <c r="FH28" i="17"/>
  <c r="FH35" i="17" s="1"/>
  <c r="GO28" i="17"/>
  <c r="HP28" i="17"/>
  <c r="HP35" i="17" s="1"/>
  <c r="HH28" i="17"/>
  <c r="HH35" i="17" s="1"/>
  <c r="Y28" i="17"/>
  <c r="HT35" i="17"/>
  <c r="HL28" i="17"/>
  <c r="HL35" i="17" s="1"/>
  <c r="JD28" i="17"/>
  <c r="JD35" i="17" s="1"/>
  <c r="JH28" i="17"/>
  <c r="JH35" i="17" s="1"/>
  <c r="IN28" i="17"/>
  <c r="IN35" i="17" s="1"/>
  <c r="IR28" i="17"/>
  <c r="IR35" i="17" s="1"/>
  <c r="U28" i="17"/>
  <c r="JG28" i="17"/>
  <c r="JG35" i="17" s="1"/>
  <c r="GU35" i="17"/>
  <c r="GT30" i="17"/>
  <c r="GT32" i="17" s="1"/>
  <c r="GT35" i="17" s="1"/>
  <c r="GS32" i="17"/>
  <c r="V28" i="17"/>
  <c r="AJ28" i="17"/>
  <c r="AJ35" i="17" s="1"/>
  <c r="ED28" i="17"/>
  <c r="EH28" i="17"/>
  <c r="GA28" i="17"/>
  <c r="GA35" i="17" s="1"/>
  <c r="GS28" i="17"/>
  <c r="HD28" i="17"/>
  <c r="HD35" i="17" s="1"/>
  <c r="JB28" i="17"/>
  <c r="JF28" i="17"/>
  <c r="IP28" i="17"/>
  <c r="U32" i="17"/>
  <c r="W35" i="17"/>
  <c r="AU35" i="17"/>
  <c r="BC35" i="17"/>
  <c r="BK35" i="17"/>
  <c r="BS35" i="17"/>
  <c r="CA35" i="17"/>
  <c r="CU35" i="17"/>
  <c r="DC35" i="17"/>
  <c r="DW35" i="17"/>
  <c r="EQ35" i="17"/>
  <c r="GM35" i="17"/>
  <c r="IY35" i="17"/>
  <c r="H32" i="17"/>
  <c r="Y32" i="17"/>
  <c r="DS35" i="17"/>
  <c r="HC35" i="17"/>
  <c r="I32" i="17"/>
  <c r="GP30" i="17"/>
  <c r="GP32" i="17" s="1"/>
  <c r="GP35" i="17" s="1"/>
  <c r="GS35" i="17" l="1"/>
  <c r="GS36" i="17" s="1"/>
  <c r="Y35" i="17"/>
  <c r="GO35" i="17"/>
  <c r="GO36" i="17" s="1"/>
  <c r="U35" i="17"/>
  <c r="Z32" i="17"/>
  <c r="V32" i="17"/>
  <c r="V35" i="17" s="1"/>
  <c r="Z28" i="17"/>
  <c r="U36" i="17" l="1"/>
  <c r="Z35" i="17"/>
  <c r="Y36" i="17" s="1"/>
  <c r="G13" i="8"/>
  <c r="F14" i="8" l="1"/>
  <c r="D14" i="8"/>
  <c r="H377" i="8"/>
  <c r="G377" i="8"/>
  <c r="I377" i="8" s="1"/>
  <c r="D376" i="8"/>
  <c r="D301" i="8"/>
  <c r="H316" i="8"/>
  <c r="G316" i="8"/>
  <c r="I316" i="8" s="1"/>
  <c r="H313" i="8"/>
  <c r="G313" i="8"/>
  <c r="I313" i="8" s="1"/>
  <c r="D312" i="8"/>
  <c r="H310" i="8"/>
  <c r="G310" i="8"/>
  <c r="I310" i="8" s="1"/>
  <c r="D309" i="8"/>
  <c r="J305" i="8"/>
  <c r="H307" i="8"/>
  <c r="G307" i="8"/>
  <c r="I307" i="8" s="1"/>
  <c r="D306" i="8"/>
  <c r="CQ32" i="6" l="1"/>
  <c r="CQ31" i="6"/>
  <c r="CQ12" i="6"/>
  <c r="CQ13" i="6"/>
  <c r="CQ14" i="6"/>
  <c r="CQ15" i="6"/>
  <c r="CQ16" i="6"/>
  <c r="CQ17" i="6"/>
  <c r="CQ18" i="6"/>
  <c r="CQ19" i="6"/>
  <c r="CQ20" i="6"/>
  <c r="CQ21" i="6"/>
  <c r="CQ22" i="6"/>
  <c r="CQ23" i="6"/>
  <c r="CQ24" i="6"/>
  <c r="CQ25" i="6"/>
  <c r="CQ26" i="6"/>
  <c r="CQ27" i="6"/>
  <c r="CQ28" i="6"/>
  <c r="CQ11" i="6"/>
  <c r="TR13" i="2"/>
  <c r="TS13" i="2"/>
  <c r="CP12" i="6" s="1"/>
  <c r="TR14" i="2"/>
  <c r="TS14" i="2"/>
  <c r="CP13" i="6" s="1"/>
  <c r="TR15" i="2"/>
  <c r="TS15" i="2"/>
  <c r="CP14" i="6" s="1"/>
  <c r="TR16" i="2"/>
  <c r="TS16" i="2"/>
  <c r="CP15" i="6" s="1"/>
  <c r="TR17" i="2"/>
  <c r="TS17" i="2"/>
  <c r="CP16" i="6" s="1"/>
  <c r="TR18" i="2"/>
  <c r="TS18" i="2"/>
  <c r="CP17" i="6" s="1"/>
  <c r="TR19" i="2"/>
  <c r="TS19" i="2"/>
  <c r="CP18" i="6" s="1"/>
  <c r="TR20" i="2"/>
  <c r="TS20" i="2"/>
  <c r="CP19" i="6" s="1"/>
  <c r="TR21" i="2"/>
  <c r="TS21" i="2"/>
  <c r="CP20" i="6" s="1"/>
  <c r="TR22" i="2"/>
  <c r="TS22" i="2"/>
  <c r="CP21" i="6" s="1"/>
  <c r="TR23" i="2"/>
  <c r="TS23" i="2"/>
  <c r="CP22" i="6" s="1"/>
  <c r="TR24" i="2"/>
  <c r="TS24" i="2"/>
  <c r="CP23" i="6" s="1"/>
  <c r="TR25" i="2"/>
  <c r="TS25" i="2"/>
  <c r="CP24" i="6" s="1"/>
  <c r="TR26" i="2"/>
  <c r="TS26" i="2"/>
  <c r="CP25" i="6" s="1"/>
  <c r="TR27" i="2"/>
  <c r="TS27" i="2"/>
  <c r="CP26" i="6" s="1"/>
  <c r="TR28" i="2"/>
  <c r="TS28" i="2"/>
  <c r="CP27" i="6" s="1"/>
  <c r="TS29" i="2"/>
  <c r="CP28" i="6" s="1"/>
  <c r="TS12" i="2"/>
  <c r="CP11" i="6" s="1"/>
  <c r="TR12" i="2"/>
  <c r="TL33" i="2"/>
  <c r="TM33" i="2"/>
  <c r="CP32" i="6" s="1"/>
  <c r="TM32" i="2"/>
  <c r="CP31" i="6" s="1"/>
  <c r="TL32" i="2"/>
  <c r="CQ29" i="6" l="1"/>
  <c r="CP29" i="6"/>
  <c r="TZ34" i="2"/>
  <c r="TY34" i="2"/>
  <c r="TX34" i="2"/>
  <c r="TW34" i="2"/>
  <c r="TV34" i="2"/>
  <c r="TU34" i="2"/>
  <c r="TS34" i="2"/>
  <c r="TR34" i="2"/>
  <c r="TP34" i="2"/>
  <c r="TO34" i="2"/>
  <c r="TT33" i="2"/>
  <c r="TQ33" i="2"/>
  <c r="TN33" i="2"/>
  <c r="TK33" i="2"/>
  <c r="TT32" i="2"/>
  <c r="TT34" i="2" s="1"/>
  <c r="TQ32" i="2"/>
  <c r="TQ34" i="2" s="1"/>
  <c r="TN32" i="2"/>
  <c r="TM34" i="2"/>
  <c r="TV30" i="2"/>
  <c r="TU30" i="2"/>
  <c r="TP30" i="2"/>
  <c r="TP37" i="2" s="1"/>
  <c r="TO30" i="2"/>
  <c r="TO37" i="2" s="1"/>
  <c r="TM30" i="2"/>
  <c r="TL30" i="2"/>
  <c r="TT29" i="2"/>
  <c r="TN29" i="2"/>
  <c r="TK29" i="2"/>
  <c r="TT28" i="2"/>
  <c r="TZ28" i="2" s="1"/>
  <c r="TQ28" i="2"/>
  <c r="TN28" i="2"/>
  <c r="TK28" i="2"/>
  <c r="TT27" i="2"/>
  <c r="TQ27" i="2"/>
  <c r="TN27" i="2"/>
  <c r="TK27" i="2"/>
  <c r="TT26" i="2"/>
  <c r="TZ26" i="2" s="1"/>
  <c r="TQ26" i="2"/>
  <c r="TN26" i="2"/>
  <c r="TK26" i="2"/>
  <c r="TT25" i="2"/>
  <c r="TQ25" i="2"/>
  <c r="TN25" i="2"/>
  <c r="TK25" i="2"/>
  <c r="TT24" i="2"/>
  <c r="TZ24" i="2" s="1"/>
  <c r="TQ24" i="2"/>
  <c r="TN24" i="2"/>
  <c r="TK24" i="2"/>
  <c r="TT23" i="2"/>
  <c r="TQ23" i="2"/>
  <c r="TN23" i="2"/>
  <c r="TK23" i="2"/>
  <c r="TT22" i="2"/>
  <c r="TQ22" i="2"/>
  <c r="TN22" i="2"/>
  <c r="TK22" i="2"/>
  <c r="TT21" i="2"/>
  <c r="TQ21" i="2"/>
  <c r="TN21" i="2"/>
  <c r="TK21" i="2"/>
  <c r="TT20" i="2"/>
  <c r="TZ20" i="2" s="1"/>
  <c r="TN20" i="2"/>
  <c r="TK20" i="2"/>
  <c r="TT19" i="2"/>
  <c r="TQ19" i="2"/>
  <c r="TN19" i="2"/>
  <c r="TK19" i="2"/>
  <c r="TT18" i="2"/>
  <c r="TZ18" i="2" s="1"/>
  <c r="TQ18" i="2"/>
  <c r="TN18" i="2"/>
  <c r="TK18" i="2"/>
  <c r="TT17" i="2"/>
  <c r="TQ17" i="2"/>
  <c r="TN17" i="2"/>
  <c r="TK17" i="2"/>
  <c r="TT16" i="2"/>
  <c r="TZ16" i="2" s="1"/>
  <c r="TQ16" i="2"/>
  <c r="TN16" i="2"/>
  <c r="TK16" i="2"/>
  <c r="TT15" i="2"/>
  <c r="TQ15" i="2"/>
  <c r="TN15" i="2"/>
  <c r="TK15" i="2"/>
  <c r="TT14" i="2"/>
  <c r="TZ14" i="2" s="1"/>
  <c r="TQ14" i="2"/>
  <c r="TN14" i="2"/>
  <c r="TK14" i="2"/>
  <c r="TT13" i="2"/>
  <c r="TQ13" i="2"/>
  <c r="TN13" i="2"/>
  <c r="TK13" i="2"/>
  <c r="TT12" i="2"/>
  <c r="TQ12" i="2"/>
  <c r="TN12" i="2"/>
  <c r="TK12" i="2"/>
  <c r="D26" i="11"/>
  <c r="TZ13" i="2" l="1"/>
  <c r="TX13" i="2" s="1"/>
  <c r="TZ22" i="2"/>
  <c r="TX22" i="2" s="1"/>
  <c r="TZ27" i="2"/>
  <c r="TX27" i="2" s="1"/>
  <c r="TU37" i="2"/>
  <c r="TO38" i="2" s="1"/>
  <c r="F29" i="11" s="1"/>
  <c r="TV37" i="2"/>
  <c r="TP38" i="2" s="1"/>
  <c r="TP40" i="2" s="1"/>
  <c r="TO40" i="2" s="1"/>
  <c r="TN30" i="2"/>
  <c r="TK30" i="2"/>
  <c r="TN34" i="2"/>
  <c r="TY23" i="2"/>
  <c r="TW23" i="2" s="1"/>
  <c r="TY17" i="2"/>
  <c r="TW17" i="2" s="1"/>
  <c r="TY19" i="2"/>
  <c r="TW19" i="2" s="1"/>
  <c r="TY21" i="2"/>
  <c r="TW21" i="2" s="1"/>
  <c r="TY25" i="2"/>
  <c r="TW25" i="2" s="1"/>
  <c r="TY27" i="2"/>
  <c r="TW27" i="2" s="1"/>
  <c r="TT30" i="2"/>
  <c r="TT37" i="2" s="1"/>
  <c r="TM37" i="2"/>
  <c r="TQ20" i="2"/>
  <c r="TL34" i="2"/>
  <c r="TL37" i="2" s="1"/>
  <c r="TK32" i="2"/>
  <c r="TY12" i="2"/>
  <c r="TY13" i="2"/>
  <c r="TW13" i="2" s="1"/>
  <c r="TY22" i="2"/>
  <c r="TW22" i="2" s="1"/>
  <c r="TY16" i="2"/>
  <c r="TW16" i="2" s="1"/>
  <c r="TY24" i="2"/>
  <c r="TW24" i="2" s="1"/>
  <c r="TY14" i="2"/>
  <c r="TW14" i="2" s="1"/>
  <c r="TY15" i="2"/>
  <c r="TW15" i="2" s="1"/>
  <c r="TY18" i="2"/>
  <c r="TW18" i="2" s="1"/>
  <c r="TY26" i="2"/>
  <c r="TW26" i="2" s="1"/>
  <c r="TY28" i="2"/>
  <c r="TW28" i="2" s="1"/>
  <c r="TX14" i="2"/>
  <c r="TZ15" i="2"/>
  <c r="TX15" i="2" s="1"/>
  <c r="TX16" i="2"/>
  <c r="TZ17" i="2"/>
  <c r="TX17" i="2" s="1"/>
  <c r="TX18" i="2"/>
  <c r="TZ19" i="2"/>
  <c r="TX19" i="2" s="1"/>
  <c r="TX20" i="2"/>
  <c r="TZ21" i="2"/>
  <c r="TX21" i="2" s="1"/>
  <c r="TZ23" i="2"/>
  <c r="TX23" i="2" s="1"/>
  <c r="TX24" i="2"/>
  <c r="TZ25" i="2"/>
  <c r="TX25" i="2" s="1"/>
  <c r="TX26" i="2"/>
  <c r="TX28" i="2"/>
  <c r="TZ29" i="2"/>
  <c r="TX29" i="2" s="1"/>
  <c r="TZ12" i="2"/>
  <c r="TS30" i="2"/>
  <c r="TS37" i="2" s="1"/>
  <c r="CP33" i="6"/>
  <c r="CP36" i="6" s="1"/>
  <c r="CQ33" i="6"/>
  <c r="CQ36" i="6" s="1"/>
  <c r="TO42" i="2" l="1"/>
  <c r="TZ30" i="2"/>
  <c r="TZ37" i="2" s="1"/>
  <c r="AR57" i="1"/>
  <c r="TN37" i="2"/>
  <c r="TN38" i="2" s="1"/>
  <c r="TP42" i="2"/>
  <c r="C60" i="7"/>
  <c r="F30" i="11"/>
  <c r="TY20" i="2"/>
  <c r="TW20" i="2" s="1"/>
  <c r="TK34" i="2"/>
  <c r="TK37" i="2" s="1"/>
  <c r="TM38" i="2"/>
  <c r="TX12" i="2"/>
  <c r="TX30" i="2" s="1"/>
  <c r="TX37" i="2" s="1"/>
  <c r="TW12" i="2"/>
  <c r="B60" i="7" l="1"/>
  <c r="E30" i="11"/>
  <c r="CH13" i="2"/>
  <c r="CH14" i="2"/>
  <c r="CH15" i="2"/>
  <c r="CH16" i="2"/>
  <c r="CH17" i="2"/>
  <c r="CH18" i="2"/>
  <c r="CH19" i="2"/>
  <c r="CH20" i="2"/>
  <c r="CH21" i="2"/>
  <c r="CH22" i="2"/>
  <c r="CH23" i="2"/>
  <c r="CH24" i="2"/>
  <c r="CH25" i="2"/>
  <c r="CH26" i="2"/>
  <c r="CH27" i="2"/>
  <c r="CH28" i="2"/>
  <c r="CH29" i="2"/>
  <c r="CH12" i="2"/>
  <c r="BX33" i="2"/>
  <c r="BX32" i="2"/>
  <c r="BX13" i="2"/>
  <c r="BX14" i="2"/>
  <c r="BX15" i="2"/>
  <c r="BX16" i="2"/>
  <c r="BX17" i="2"/>
  <c r="BX18" i="2"/>
  <c r="BX19" i="2"/>
  <c r="BX20" i="2"/>
  <c r="BX21" i="2"/>
  <c r="BX22" i="2"/>
  <c r="BX23" i="2"/>
  <c r="BX24" i="2"/>
  <c r="BX25" i="2"/>
  <c r="BX26" i="2"/>
  <c r="BX27" i="2"/>
  <c r="BX28" i="2"/>
  <c r="BX29" i="2"/>
  <c r="BX12" i="2"/>
  <c r="CC34" i="2"/>
  <c r="CC30" i="2"/>
  <c r="CH34" i="2"/>
  <c r="CM34" i="2"/>
  <c r="CM30" i="2"/>
  <c r="G30" i="11" l="1"/>
  <c r="I30" i="11" s="1"/>
  <c r="H30" i="11"/>
  <c r="CM37" i="2"/>
  <c r="CC37" i="2"/>
  <c r="BX34" i="2"/>
  <c r="CH30" i="2"/>
  <c r="CH37" i="2" s="1"/>
  <c r="BX30" i="2"/>
  <c r="CC38" i="2" l="1"/>
  <c r="BX37" i="2"/>
  <c r="BX38" i="2" s="1"/>
  <c r="E69" i="8" s="1"/>
  <c r="E70" i="8" s="1"/>
  <c r="CC32" i="6"/>
  <c r="CC31" i="6"/>
  <c r="CC12" i="6"/>
  <c r="CC13" i="6"/>
  <c r="CC14" i="6"/>
  <c r="CC15" i="6"/>
  <c r="CC16" i="6"/>
  <c r="CC17" i="6"/>
  <c r="CC18" i="6"/>
  <c r="CC19" i="6"/>
  <c r="CC20" i="6"/>
  <c r="CC21" i="6"/>
  <c r="CC22" i="6"/>
  <c r="CC23" i="6"/>
  <c r="CC24" i="6"/>
  <c r="CC25" i="6"/>
  <c r="CC26" i="6"/>
  <c r="CC27" i="6"/>
  <c r="CC28" i="6"/>
  <c r="CC11" i="6"/>
  <c r="RF33" i="2"/>
  <c r="RF32" i="2"/>
  <c r="RF13" i="2"/>
  <c r="RF14" i="2"/>
  <c r="RF15" i="2"/>
  <c r="RF16" i="2"/>
  <c r="RF18" i="2"/>
  <c r="RF20" i="2"/>
  <c r="RF21" i="2"/>
  <c r="RF22" i="2"/>
  <c r="RF23" i="2"/>
  <c r="RF24" i="2"/>
  <c r="RF25" i="2"/>
  <c r="RF26" i="2"/>
  <c r="RF27" i="2"/>
  <c r="RF28" i="2"/>
  <c r="RF29" i="2"/>
  <c r="RF12" i="2"/>
  <c r="SC33" i="2"/>
  <c r="SC32" i="2"/>
  <c r="SC13" i="2"/>
  <c r="SC14" i="2"/>
  <c r="SC15" i="2"/>
  <c r="SC16" i="2"/>
  <c r="SC17" i="2"/>
  <c r="SC18" i="2"/>
  <c r="SC19" i="2"/>
  <c r="SC20" i="2"/>
  <c r="SC21" i="2"/>
  <c r="SC22" i="2"/>
  <c r="SC23" i="2"/>
  <c r="SC24" i="2"/>
  <c r="SC25" i="2"/>
  <c r="SC26" i="2"/>
  <c r="SC27" i="2"/>
  <c r="SC28" i="2"/>
  <c r="SC29" i="2"/>
  <c r="SC12" i="2"/>
  <c r="SD34" i="2"/>
  <c r="SD30" i="2"/>
  <c r="F69" i="8" l="1"/>
  <c r="F70" i="8" s="1"/>
  <c r="H70" i="8" s="1"/>
  <c r="CC42" i="2"/>
  <c r="G70" i="8"/>
  <c r="I70" i="8" s="1"/>
  <c r="CB27" i="6"/>
  <c r="CB15" i="6"/>
  <c r="CB26" i="6"/>
  <c r="CB22" i="6"/>
  <c r="CB18" i="6"/>
  <c r="CB32" i="6"/>
  <c r="CB23" i="6"/>
  <c r="CB28" i="6"/>
  <c r="CB24" i="6"/>
  <c r="CB20" i="6"/>
  <c r="CB16" i="6"/>
  <c r="CB12" i="6"/>
  <c r="CB19" i="6"/>
  <c r="CB31" i="6"/>
  <c r="CB33" i="6" s="1"/>
  <c r="CB11" i="6"/>
  <c r="CB25" i="6"/>
  <c r="CB21" i="6"/>
  <c r="CB17" i="6"/>
  <c r="CB13" i="6"/>
  <c r="H71" i="8"/>
  <c r="G69" i="8"/>
  <c r="I69" i="8" s="1"/>
  <c r="CC33" i="6"/>
  <c r="CC29" i="6"/>
  <c r="SD37" i="2"/>
  <c r="C49" i="7" s="1"/>
  <c r="SC30" i="2"/>
  <c r="CB14" i="6"/>
  <c r="SC34" i="2"/>
  <c r="H69" i="8" l="1"/>
  <c r="CB29" i="6"/>
  <c r="CB36" i="6" s="1"/>
  <c r="G71" i="8"/>
  <c r="I71" i="8" s="1"/>
  <c r="CC36" i="6"/>
  <c r="SD38" i="2"/>
  <c r="SC37" i="2"/>
  <c r="B49" i="7" s="1"/>
  <c r="JJ34" i="2"/>
  <c r="IZ33" i="2"/>
  <c r="IZ32" i="2"/>
  <c r="IZ13" i="2"/>
  <c r="IZ14" i="2"/>
  <c r="IZ15" i="2"/>
  <c r="IZ16" i="2"/>
  <c r="IZ17" i="2"/>
  <c r="IZ18" i="2"/>
  <c r="IZ19" i="2"/>
  <c r="IZ20" i="2"/>
  <c r="IZ21" i="2"/>
  <c r="IZ22" i="2"/>
  <c r="IZ23" i="2"/>
  <c r="IZ24" i="2"/>
  <c r="IZ25" i="2"/>
  <c r="IZ26" i="2"/>
  <c r="IZ27" i="2"/>
  <c r="IZ28" i="2"/>
  <c r="IZ29" i="2"/>
  <c r="IZ12" i="2"/>
  <c r="JJ27" i="2" l="1"/>
  <c r="JJ15" i="2"/>
  <c r="JJ19" i="2"/>
  <c r="JJ24" i="2"/>
  <c r="JJ20" i="2"/>
  <c r="JJ16" i="2"/>
  <c r="JJ29" i="2"/>
  <c r="JJ21" i="2"/>
  <c r="JJ17" i="2"/>
  <c r="JJ13" i="2"/>
  <c r="JJ23" i="2"/>
  <c r="JJ28" i="2"/>
  <c r="JJ25" i="2"/>
  <c r="JJ12" i="2"/>
  <c r="JJ26" i="2"/>
  <c r="JJ22" i="2"/>
  <c r="JJ18" i="2"/>
  <c r="JJ14" i="2"/>
  <c r="IZ34" i="2"/>
  <c r="IZ30" i="2"/>
  <c r="JA13" i="2" l="1"/>
  <c r="JA16" i="2"/>
  <c r="JA15" i="2"/>
  <c r="JA23" i="2"/>
  <c r="JA19" i="2"/>
  <c r="JA28" i="2"/>
  <c r="JA24" i="2"/>
  <c r="JA14" i="2"/>
  <c r="JA12" i="2"/>
  <c r="JA26" i="2"/>
  <c r="JA29" i="2"/>
  <c r="JA22" i="2"/>
  <c r="JA21" i="2"/>
  <c r="JA18" i="2"/>
  <c r="JA25" i="2"/>
  <c r="JA17" i="2"/>
  <c r="JA20" i="2"/>
  <c r="JA27" i="2"/>
  <c r="JJ30" i="2"/>
  <c r="JJ37" i="2" s="1"/>
  <c r="JJ42" i="2" s="1"/>
  <c r="IZ37" i="2"/>
  <c r="E375" i="8" s="1"/>
  <c r="R9" i="4"/>
  <c r="R10" i="4"/>
  <c r="R11" i="4"/>
  <c r="R12" i="4"/>
  <c r="R13" i="4"/>
  <c r="R14" i="4"/>
  <c r="R15" i="4"/>
  <c r="R16" i="4"/>
  <c r="R17" i="4"/>
  <c r="R18" i="4"/>
  <c r="R19" i="4"/>
  <c r="R20" i="4"/>
  <c r="R21" i="4"/>
  <c r="R22" i="4"/>
  <c r="R23" i="4"/>
  <c r="R24" i="4"/>
  <c r="R25" i="4"/>
  <c r="R8" i="4"/>
  <c r="N9" i="4"/>
  <c r="N10" i="4"/>
  <c r="N11" i="4"/>
  <c r="N12" i="4"/>
  <c r="N13" i="4"/>
  <c r="N14" i="4"/>
  <c r="N15" i="4"/>
  <c r="N16" i="4"/>
  <c r="N17" i="4"/>
  <c r="N18" i="4"/>
  <c r="N19" i="4"/>
  <c r="N20" i="4"/>
  <c r="N21" i="4"/>
  <c r="N22" i="4"/>
  <c r="N23" i="4"/>
  <c r="N24" i="4"/>
  <c r="N25" i="4"/>
  <c r="N8" i="4"/>
  <c r="R29" i="3"/>
  <c r="R28" i="3"/>
  <c r="R9" i="3"/>
  <c r="R10" i="3"/>
  <c r="R11" i="3"/>
  <c r="R12" i="3"/>
  <c r="R13" i="3"/>
  <c r="R14" i="3"/>
  <c r="R15" i="3"/>
  <c r="R16" i="3"/>
  <c r="R17" i="3"/>
  <c r="R18" i="3"/>
  <c r="R19" i="3"/>
  <c r="R20" i="3"/>
  <c r="R21" i="3"/>
  <c r="R22" i="3"/>
  <c r="R23" i="3"/>
  <c r="R24" i="3"/>
  <c r="R25" i="3"/>
  <c r="R8" i="3"/>
  <c r="JA30" i="2" l="1"/>
  <c r="F375" i="8"/>
  <c r="F376" i="8" s="1"/>
  <c r="E376" i="8"/>
  <c r="G375" i="8"/>
  <c r="I375" i="8" s="1"/>
  <c r="R26" i="3"/>
  <c r="H375" i="8" l="1"/>
  <c r="H376" i="8"/>
  <c r="G376" i="8"/>
  <c r="I376" i="8" s="1"/>
  <c r="S26" i="4"/>
  <c r="O26" i="4"/>
  <c r="S36" i="3" s="1"/>
  <c r="Q25" i="4"/>
  <c r="P25" i="4"/>
  <c r="Q24" i="4"/>
  <c r="P24" i="4"/>
  <c r="Q23" i="4"/>
  <c r="P23" i="4"/>
  <c r="Q22" i="4"/>
  <c r="P22" i="4"/>
  <c r="Q21" i="4"/>
  <c r="P21" i="4"/>
  <c r="Q20" i="4"/>
  <c r="P20" i="4"/>
  <c r="Q19" i="4"/>
  <c r="P19" i="4"/>
  <c r="Q18" i="4"/>
  <c r="P18" i="4"/>
  <c r="Q17" i="4"/>
  <c r="P17" i="4"/>
  <c r="Q16" i="4"/>
  <c r="P16" i="4"/>
  <c r="Q15" i="4"/>
  <c r="P15" i="4"/>
  <c r="Q14" i="4"/>
  <c r="P14" i="4"/>
  <c r="Q13" i="4"/>
  <c r="P13" i="4"/>
  <c r="Q12" i="4"/>
  <c r="P12" i="4"/>
  <c r="Q11" i="4"/>
  <c r="P11" i="4"/>
  <c r="Q10" i="4"/>
  <c r="P10" i="4"/>
  <c r="Q9" i="4"/>
  <c r="P9" i="4"/>
  <c r="R26" i="4"/>
  <c r="Q8" i="4"/>
  <c r="P8" i="4"/>
  <c r="N26" i="4"/>
  <c r="R36" i="3" s="1"/>
  <c r="S30" i="3"/>
  <c r="S26" i="3"/>
  <c r="Q26" i="4" l="1"/>
  <c r="S33" i="3"/>
  <c r="S38" i="3" s="1"/>
  <c r="P26" i="4"/>
  <c r="R30" i="3"/>
  <c r="S40" i="3" l="1"/>
  <c r="F83" i="8"/>
  <c r="R33" i="3"/>
  <c r="R38" i="3" s="1"/>
  <c r="E83" i="8" s="1"/>
  <c r="H83" i="8" l="1"/>
  <c r="F84" i="8"/>
  <c r="E84" i="8"/>
  <c r="G84" i="8" s="1"/>
  <c r="I84" i="8" s="1"/>
  <c r="G83" i="8"/>
  <c r="I83" i="8" s="1"/>
  <c r="RZ33" i="2"/>
  <c r="RZ32" i="2"/>
  <c r="RZ29" i="2"/>
  <c r="RZ28" i="2"/>
  <c r="RZ27" i="2"/>
  <c r="RZ26" i="2"/>
  <c r="RZ25" i="2"/>
  <c r="RZ24" i="2"/>
  <c r="RZ23" i="2"/>
  <c r="RZ22" i="2"/>
  <c r="RZ21" i="2"/>
  <c r="RZ20" i="2"/>
  <c r="RZ19" i="2"/>
  <c r="RZ18" i="2"/>
  <c r="RZ17" i="2"/>
  <c r="RZ16" i="2"/>
  <c r="RZ15" i="2"/>
  <c r="RZ14" i="2"/>
  <c r="RZ13" i="2"/>
  <c r="RZ12" i="2"/>
  <c r="AF29" i="3"/>
  <c r="AF9" i="3"/>
  <c r="AF10" i="3"/>
  <c r="AF11" i="3"/>
  <c r="AF12" i="3"/>
  <c r="AF13" i="3"/>
  <c r="AF14" i="3"/>
  <c r="AF15" i="3"/>
  <c r="AF16" i="3"/>
  <c r="AF17" i="3"/>
  <c r="AF18" i="3"/>
  <c r="AF19" i="3"/>
  <c r="AF20" i="3"/>
  <c r="AF21" i="3"/>
  <c r="AF22" i="3"/>
  <c r="AF23" i="3"/>
  <c r="AF24" i="3"/>
  <c r="AF25" i="3"/>
  <c r="AF8" i="3"/>
  <c r="AQ32" i="6"/>
  <c r="FM31" i="17" s="1"/>
  <c r="FN31" i="17" s="1"/>
  <c r="AQ31" i="6"/>
  <c r="FM30" i="17" s="1"/>
  <c r="AQ12" i="6"/>
  <c r="FM11" i="17" s="1"/>
  <c r="FN11" i="17" s="1"/>
  <c r="AQ13" i="6"/>
  <c r="FM12" i="17" s="1"/>
  <c r="FN12" i="17" s="1"/>
  <c r="AQ14" i="6"/>
  <c r="FM13" i="17" s="1"/>
  <c r="AQ15" i="6"/>
  <c r="FM14" i="17" s="1"/>
  <c r="FN14" i="17" s="1"/>
  <c r="AQ16" i="6"/>
  <c r="FM15" i="17" s="1"/>
  <c r="FN15" i="17" s="1"/>
  <c r="AQ17" i="6"/>
  <c r="FM16" i="17" s="1"/>
  <c r="AQ18" i="6"/>
  <c r="FM17" i="17" s="1"/>
  <c r="FN17" i="17" s="1"/>
  <c r="AQ19" i="6"/>
  <c r="FM18" i="17" s="1"/>
  <c r="FN18" i="17" s="1"/>
  <c r="AQ20" i="6"/>
  <c r="FM19" i="17" s="1"/>
  <c r="FN19" i="17" s="1"/>
  <c r="AQ21" i="6"/>
  <c r="FM20" i="17" s="1"/>
  <c r="FN20" i="17" s="1"/>
  <c r="AQ22" i="6"/>
  <c r="FM21" i="17" s="1"/>
  <c r="FN21" i="17" s="1"/>
  <c r="AQ23" i="6"/>
  <c r="FM22" i="17" s="1"/>
  <c r="FN22" i="17" s="1"/>
  <c r="AQ24" i="6"/>
  <c r="FM23" i="17" s="1"/>
  <c r="FN23" i="17" s="1"/>
  <c r="AQ25" i="6"/>
  <c r="AQ26" i="6"/>
  <c r="FM25" i="17" s="1"/>
  <c r="AQ27" i="6"/>
  <c r="FM26" i="17" s="1"/>
  <c r="AQ28" i="6"/>
  <c r="FM27" i="17" s="1"/>
  <c r="FN27" i="17" s="1"/>
  <c r="AQ11" i="6"/>
  <c r="FM10" i="17" s="1"/>
  <c r="FN10" i="17" s="1"/>
  <c r="IY33" i="2"/>
  <c r="AP32" i="6" s="1"/>
  <c r="FI31" i="17" s="1"/>
  <c r="FJ31" i="17" s="1"/>
  <c r="IX33" i="2"/>
  <c r="IY32" i="2"/>
  <c r="AP31" i="6" s="1"/>
  <c r="FI30" i="17" s="1"/>
  <c r="IX32" i="2"/>
  <c r="IX13" i="2"/>
  <c r="IY13" i="2"/>
  <c r="AP12" i="6" s="1"/>
  <c r="FI11" i="17" s="1"/>
  <c r="FJ11" i="17" s="1"/>
  <c r="IX14" i="2"/>
  <c r="IY14" i="2"/>
  <c r="AP13" i="6" s="1"/>
  <c r="FI12" i="17" s="1"/>
  <c r="FJ12" i="17" s="1"/>
  <c r="IX15" i="2"/>
  <c r="IY15" i="2"/>
  <c r="AP14" i="6" s="1"/>
  <c r="FI13" i="17" s="1"/>
  <c r="FJ13" i="17" s="1"/>
  <c r="IX16" i="2"/>
  <c r="IY16" i="2"/>
  <c r="AP15" i="6" s="1"/>
  <c r="FI14" i="17" s="1"/>
  <c r="FJ14" i="17" s="1"/>
  <c r="IX17" i="2"/>
  <c r="IY17" i="2"/>
  <c r="AP16" i="6" s="1"/>
  <c r="FI15" i="17" s="1"/>
  <c r="FJ15" i="17" s="1"/>
  <c r="IX18" i="2"/>
  <c r="IY18" i="2"/>
  <c r="AP17" i="6" s="1"/>
  <c r="FI16" i="17" s="1"/>
  <c r="FJ16" i="17" s="1"/>
  <c r="IX19" i="2"/>
  <c r="IY19" i="2"/>
  <c r="AP18" i="6" s="1"/>
  <c r="FI17" i="17" s="1"/>
  <c r="FJ17" i="17" s="1"/>
  <c r="IX20" i="2"/>
  <c r="IY20" i="2"/>
  <c r="AP19" i="6" s="1"/>
  <c r="FI18" i="17" s="1"/>
  <c r="FJ18" i="17" s="1"/>
  <c r="IX21" i="2"/>
  <c r="IX22" i="2"/>
  <c r="IY22" i="2"/>
  <c r="AP21" i="6" s="1"/>
  <c r="FI20" i="17" s="1"/>
  <c r="FJ20" i="17" s="1"/>
  <c r="IX23" i="2"/>
  <c r="IY23" i="2"/>
  <c r="AP22" i="6" s="1"/>
  <c r="FI21" i="17" s="1"/>
  <c r="FJ21" i="17" s="1"/>
  <c r="IX24" i="2"/>
  <c r="IY24" i="2"/>
  <c r="AP23" i="6" s="1"/>
  <c r="FI22" i="17" s="1"/>
  <c r="FJ22" i="17" s="1"/>
  <c r="IX25" i="2"/>
  <c r="IY25" i="2"/>
  <c r="AP24" i="6" s="1"/>
  <c r="FI23" i="17" s="1"/>
  <c r="FJ23" i="17" s="1"/>
  <c r="IX26" i="2"/>
  <c r="IY26" i="2"/>
  <c r="AP25" i="6" s="1"/>
  <c r="FI24" i="17" s="1"/>
  <c r="FJ24" i="17" s="1"/>
  <c r="IX27" i="2"/>
  <c r="IY27" i="2"/>
  <c r="AP26" i="6" s="1"/>
  <c r="FI25" i="17" s="1"/>
  <c r="FJ25" i="17" s="1"/>
  <c r="IX28" i="2"/>
  <c r="IY28" i="2"/>
  <c r="AP27" i="6" s="1"/>
  <c r="FI26" i="17" s="1"/>
  <c r="FJ26" i="17" s="1"/>
  <c r="IX29" i="2"/>
  <c r="IY29" i="2"/>
  <c r="AP28" i="6" s="1"/>
  <c r="FI27" i="17" s="1"/>
  <c r="FJ27" i="17" s="1"/>
  <c r="IY12" i="2"/>
  <c r="AP11" i="6" s="1"/>
  <c r="FI10" i="17" s="1"/>
  <c r="FJ10" i="17" s="1"/>
  <c r="IX12" i="2"/>
  <c r="JI34" i="2"/>
  <c r="JH34" i="2"/>
  <c r="JI30" i="2"/>
  <c r="JH30" i="2"/>
  <c r="AS32" i="6"/>
  <c r="GC31" i="17" s="1"/>
  <c r="GD31" i="17" s="1"/>
  <c r="AS31" i="6"/>
  <c r="GC30" i="17" s="1"/>
  <c r="GD30" i="17" s="1"/>
  <c r="AS12" i="6"/>
  <c r="GC11" i="17" s="1"/>
  <c r="GD11" i="17" s="1"/>
  <c r="AS13" i="6"/>
  <c r="GC12" i="17" s="1"/>
  <c r="GD12" i="17" s="1"/>
  <c r="AS14" i="6"/>
  <c r="GC13" i="17" s="1"/>
  <c r="GD13" i="17" s="1"/>
  <c r="AS15" i="6"/>
  <c r="GC14" i="17" s="1"/>
  <c r="GD14" i="17" s="1"/>
  <c r="AS16" i="6"/>
  <c r="GC15" i="17" s="1"/>
  <c r="GD15" i="17" s="1"/>
  <c r="AS17" i="6"/>
  <c r="GC16" i="17" s="1"/>
  <c r="GD16" i="17" s="1"/>
  <c r="AS18" i="6"/>
  <c r="GC17" i="17" s="1"/>
  <c r="GD17" i="17" s="1"/>
  <c r="AS19" i="6"/>
  <c r="GC18" i="17" s="1"/>
  <c r="GD18" i="17" s="1"/>
  <c r="AS20" i="6"/>
  <c r="GC19" i="17" s="1"/>
  <c r="AS21" i="6"/>
  <c r="GC20" i="17" s="1"/>
  <c r="GD20" i="17" s="1"/>
  <c r="AS22" i="6"/>
  <c r="GC21" i="17" s="1"/>
  <c r="GD21" i="17" s="1"/>
  <c r="AS23" i="6"/>
  <c r="AS24" i="6"/>
  <c r="GC23" i="17" s="1"/>
  <c r="GD23" i="17" s="1"/>
  <c r="AS25" i="6"/>
  <c r="GC24" i="17" s="1"/>
  <c r="GD24" i="17" s="1"/>
  <c r="AS26" i="6"/>
  <c r="GC25" i="17" s="1"/>
  <c r="GD25" i="17" s="1"/>
  <c r="AS27" i="6"/>
  <c r="GC26" i="17" s="1"/>
  <c r="GD26" i="17" s="1"/>
  <c r="AS28" i="6"/>
  <c r="GC27" i="17" s="1"/>
  <c r="GD27" i="17" s="1"/>
  <c r="AS11" i="6"/>
  <c r="GC10" i="17" s="1"/>
  <c r="GD10" i="17" s="1"/>
  <c r="IW33" i="2"/>
  <c r="AR32" i="6" s="1"/>
  <c r="FY31" i="17" s="1"/>
  <c r="FZ31" i="17" s="1"/>
  <c r="IV33" i="2"/>
  <c r="IW32" i="2"/>
  <c r="IV32" i="2"/>
  <c r="IV13" i="2"/>
  <c r="IW13" i="2"/>
  <c r="IV14" i="2"/>
  <c r="IW14" i="2"/>
  <c r="AR13" i="6" s="1"/>
  <c r="FY12" i="17" s="1"/>
  <c r="FZ12" i="17" s="1"/>
  <c r="IV15" i="2"/>
  <c r="IW15" i="2"/>
  <c r="IV16" i="2"/>
  <c r="IW16" i="2"/>
  <c r="AR15" i="6" s="1"/>
  <c r="FY14" i="17" s="1"/>
  <c r="FZ14" i="17" s="1"/>
  <c r="IV17" i="2"/>
  <c r="IW17" i="2"/>
  <c r="AR16" i="6" s="1"/>
  <c r="FY15" i="17" s="1"/>
  <c r="FZ15" i="17" s="1"/>
  <c r="IV18" i="2"/>
  <c r="IW18" i="2"/>
  <c r="AR17" i="6" s="1"/>
  <c r="FY16" i="17" s="1"/>
  <c r="FZ16" i="17" s="1"/>
  <c r="IV19" i="2"/>
  <c r="IW19" i="2"/>
  <c r="AR18" i="6" s="1"/>
  <c r="FY17" i="17" s="1"/>
  <c r="FZ17" i="17" s="1"/>
  <c r="IV20" i="2"/>
  <c r="IW20" i="2"/>
  <c r="AR19" i="6" s="1"/>
  <c r="FY18" i="17" s="1"/>
  <c r="FZ18" i="17" s="1"/>
  <c r="IV21" i="2"/>
  <c r="IW21" i="2"/>
  <c r="IV22" i="2"/>
  <c r="IW22" i="2"/>
  <c r="AR21" i="6" s="1"/>
  <c r="FY20" i="17" s="1"/>
  <c r="FZ20" i="17" s="1"/>
  <c r="IV23" i="2"/>
  <c r="IW23" i="2"/>
  <c r="IV24" i="2"/>
  <c r="IW24" i="2"/>
  <c r="AR23" i="6" s="1"/>
  <c r="FY22" i="17" s="1"/>
  <c r="FZ22" i="17" s="1"/>
  <c r="IV25" i="2"/>
  <c r="IW25" i="2"/>
  <c r="IV26" i="2"/>
  <c r="IW26" i="2"/>
  <c r="AR25" i="6" s="1"/>
  <c r="FY24" i="17" s="1"/>
  <c r="FZ24" i="17" s="1"/>
  <c r="IV27" i="2"/>
  <c r="IW27" i="2"/>
  <c r="AR26" i="6" s="1"/>
  <c r="FY25" i="17" s="1"/>
  <c r="FZ25" i="17" s="1"/>
  <c r="IV28" i="2"/>
  <c r="IW28" i="2"/>
  <c r="AR27" i="6" s="1"/>
  <c r="FY26" i="17" s="1"/>
  <c r="FZ26" i="17" s="1"/>
  <c r="IV29" i="2"/>
  <c r="IW29" i="2"/>
  <c r="AR28" i="6" s="1"/>
  <c r="FY27" i="17" s="1"/>
  <c r="FZ27" i="17" s="1"/>
  <c r="IW12" i="2"/>
  <c r="AR11" i="6" s="1"/>
  <c r="FY10" i="17" s="1"/>
  <c r="FZ10" i="17" s="1"/>
  <c r="IV12" i="2"/>
  <c r="JF40" i="2"/>
  <c r="JG34" i="2"/>
  <c r="JF34" i="2"/>
  <c r="JG30" i="2"/>
  <c r="JF30" i="2"/>
  <c r="FM24" i="17" l="1"/>
  <c r="FM28" i="17" s="1"/>
  <c r="GC22" i="17"/>
  <c r="GD22" i="17" s="1"/>
  <c r="FN26" i="17"/>
  <c r="FN25" i="17"/>
  <c r="FN16" i="17"/>
  <c r="FN13" i="17"/>
  <c r="GD19" i="17"/>
  <c r="H84" i="8"/>
  <c r="E85" i="8"/>
  <c r="G85" i="8" s="1"/>
  <c r="I85" i="8" s="1"/>
  <c r="F85" i="8"/>
  <c r="GD32" i="17"/>
  <c r="FN30" i="17"/>
  <c r="FN32" i="17" s="1"/>
  <c r="FM32" i="17"/>
  <c r="GC32" i="17"/>
  <c r="FJ30" i="17"/>
  <c r="FJ32" i="17" s="1"/>
  <c r="FI32" i="17"/>
  <c r="JI37" i="2"/>
  <c r="JI42" i="2" s="1"/>
  <c r="RZ34" i="2"/>
  <c r="RZ30" i="2"/>
  <c r="JH37" i="2"/>
  <c r="AQ33" i="6"/>
  <c r="AQ29" i="6"/>
  <c r="IV34" i="2"/>
  <c r="IY34" i="2"/>
  <c r="AP33" i="6"/>
  <c r="IX34" i="2"/>
  <c r="IX30" i="2"/>
  <c r="AS33" i="6"/>
  <c r="IW34" i="2"/>
  <c r="IW30" i="2"/>
  <c r="AR31" i="6"/>
  <c r="AR24" i="6"/>
  <c r="FY23" i="17" s="1"/>
  <c r="FZ23" i="17" s="1"/>
  <c r="AR22" i="6"/>
  <c r="FY21" i="17" s="1"/>
  <c r="FZ21" i="17" s="1"/>
  <c r="AR20" i="6"/>
  <c r="FY19" i="17" s="1"/>
  <c r="FZ19" i="17" s="1"/>
  <c r="AR14" i="6"/>
  <c r="FY13" i="17" s="1"/>
  <c r="FZ13" i="17" s="1"/>
  <c r="AR12" i="6"/>
  <c r="FY11" i="17" s="1"/>
  <c r="FZ11" i="17" s="1"/>
  <c r="AS29" i="6"/>
  <c r="IV30" i="2"/>
  <c r="JG37" i="2"/>
  <c r="F314" i="8" s="1"/>
  <c r="F315" i="8" s="1"/>
  <c r="JF37" i="2"/>
  <c r="GC28" i="17" l="1"/>
  <c r="GC35" i="17" s="1"/>
  <c r="FN24" i="17"/>
  <c r="FN28" i="17" s="1"/>
  <c r="FN35" i="17" s="1"/>
  <c r="GD28" i="17"/>
  <c r="GD35" i="17" s="1"/>
  <c r="H85" i="8"/>
  <c r="F305" i="8"/>
  <c r="F306" i="8" s="1"/>
  <c r="JH42" i="2"/>
  <c r="FM35" i="17"/>
  <c r="FZ28" i="17"/>
  <c r="RZ37" i="2"/>
  <c r="JF42" i="2"/>
  <c r="F311" i="8"/>
  <c r="F312" i="8" s="1"/>
  <c r="C21" i="7"/>
  <c r="F308" i="8"/>
  <c r="F309" i="8" s="1"/>
  <c r="FY28" i="17"/>
  <c r="AR33" i="6"/>
  <c r="FY30" i="17"/>
  <c r="AQ36" i="6"/>
  <c r="IV37" i="2"/>
  <c r="E311" i="8" s="1"/>
  <c r="JG42" i="2"/>
  <c r="C22" i="7"/>
  <c r="IX37" i="2"/>
  <c r="E305" i="8" s="1"/>
  <c r="IW37" i="2"/>
  <c r="AS36" i="6"/>
  <c r="AR29" i="6"/>
  <c r="GC36" i="17" l="1"/>
  <c r="FM36" i="17"/>
  <c r="FY32" i="17"/>
  <c r="FY35" i="17" s="1"/>
  <c r="FZ30" i="17"/>
  <c r="FZ32" i="17" s="1"/>
  <c r="FZ35" i="17" s="1"/>
  <c r="F301" i="8"/>
  <c r="AR36" i="6"/>
  <c r="H305" i="8"/>
  <c r="E306" i="8"/>
  <c r="G305" i="8"/>
  <c r="I305" i="8" s="1"/>
  <c r="E312" i="8"/>
  <c r="G311" i="8"/>
  <c r="I311" i="8" s="1"/>
  <c r="H311" i="8"/>
  <c r="B22" i="7"/>
  <c r="E314" i="8"/>
  <c r="FY36" i="17" l="1"/>
  <c r="E315" i="8"/>
  <c r="H315" i="8" s="1"/>
  <c r="H314" i="8"/>
  <c r="G312" i="8"/>
  <c r="I312" i="8" s="1"/>
  <c r="H312" i="8"/>
  <c r="H306" i="8"/>
  <c r="G306" i="8"/>
  <c r="CA32" i="6"/>
  <c r="CA31" i="6"/>
  <c r="CA12" i="6"/>
  <c r="CA13" i="6"/>
  <c r="CA14" i="6"/>
  <c r="CA15" i="6"/>
  <c r="CA16" i="6"/>
  <c r="CA17" i="6"/>
  <c r="CA18" i="6"/>
  <c r="CA19" i="6"/>
  <c r="CA20" i="6"/>
  <c r="CA21" i="6"/>
  <c r="CA22" i="6"/>
  <c r="CA23" i="6"/>
  <c r="CA24" i="6"/>
  <c r="CA25" i="6"/>
  <c r="CA26" i="6"/>
  <c r="CA27" i="6"/>
  <c r="CA28" i="6"/>
  <c r="CA11" i="6"/>
  <c r="RX33" i="2"/>
  <c r="RY32" i="2"/>
  <c r="RX32" i="2"/>
  <c r="RX13" i="2"/>
  <c r="RY13" i="2"/>
  <c r="RX14" i="2"/>
  <c r="RX15" i="2"/>
  <c r="RY15" i="2"/>
  <c r="BZ14" i="6" s="1"/>
  <c r="RX16" i="2"/>
  <c r="RY16" i="2"/>
  <c r="BZ15" i="6" s="1"/>
  <c r="RX17" i="2"/>
  <c r="RY17" i="2"/>
  <c r="RX18" i="2"/>
  <c r="RY18" i="2"/>
  <c r="BZ17" i="6" s="1"/>
  <c r="RX19" i="2"/>
  <c r="RY19" i="2"/>
  <c r="BZ18" i="6" s="1"/>
  <c r="RX20" i="2"/>
  <c r="RY20" i="2"/>
  <c r="BZ19" i="6" s="1"/>
  <c r="RX21" i="2"/>
  <c r="RY21" i="2"/>
  <c r="BZ20" i="6" s="1"/>
  <c r="RX22" i="2"/>
  <c r="RY22" i="2"/>
  <c r="BZ21" i="6" s="1"/>
  <c r="RX23" i="2"/>
  <c r="RY23" i="2"/>
  <c r="BZ22" i="6" s="1"/>
  <c r="RX24" i="2"/>
  <c r="RY24" i="2"/>
  <c r="BZ23" i="6" s="1"/>
  <c r="RX25" i="2"/>
  <c r="RY25" i="2"/>
  <c r="RX26" i="2"/>
  <c r="RY26" i="2"/>
  <c r="BZ25" i="6" s="1"/>
  <c r="RX27" i="2"/>
  <c r="RY27" i="2"/>
  <c r="BZ26" i="6" s="1"/>
  <c r="RX28" i="2"/>
  <c r="RY28" i="2"/>
  <c r="BZ27" i="6" s="1"/>
  <c r="RX29" i="2"/>
  <c r="RY29" i="2"/>
  <c r="RY12" i="2"/>
  <c r="BZ11" i="6" s="1"/>
  <c r="RX12" i="2"/>
  <c r="SB34" i="2"/>
  <c r="SA34" i="2"/>
  <c r="SB30" i="2"/>
  <c r="SA30" i="2"/>
  <c r="I306" i="8" l="1"/>
  <c r="RW28" i="2"/>
  <c r="RW26" i="2"/>
  <c r="RW24" i="2"/>
  <c r="RW22" i="2"/>
  <c r="RW20" i="2"/>
  <c r="RW18" i="2"/>
  <c r="RW16" i="2"/>
  <c r="SB37" i="2"/>
  <c r="SB40" i="2" s="1"/>
  <c r="SA40" i="2" s="1"/>
  <c r="RW12" i="2"/>
  <c r="RW32" i="2"/>
  <c r="RW29" i="2"/>
  <c r="RW27" i="2"/>
  <c r="RW25" i="2"/>
  <c r="RW23" i="2"/>
  <c r="RW21" i="2"/>
  <c r="RW19" i="2"/>
  <c r="RW17" i="2"/>
  <c r="RW15" i="2"/>
  <c r="RW13" i="2"/>
  <c r="CA29" i="6"/>
  <c r="CA33" i="6"/>
  <c r="RX30" i="2"/>
  <c r="RX34" i="2"/>
  <c r="BZ28" i="6"/>
  <c r="BZ24" i="6"/>
  <c r="BZ16" i="6"/>
  <c r="BZ12" i="6"/>
  <c r="BZ31" i="6"/>
  <c r="SA37" i="2"/>
  <c r="SA42" i="2" l="1"/>
  <c r="C45" i="7"/>
  <c r="SB42" i="2"/>
  <c r="CA36" i="6"/>
  <c r="RX37" i="2"/>
  <c r="H270" i="8" l="1"/>
  <c r="G270" i="8"/>
  <c r="I270" i="8" s="1"/>
  <c r="D269" i="8"/>
  <c r="H267" i="8"/>
  <c r="G267" i="8"/>
  <c r="I267" i="8" s="1"/>
  <c r="D266" i="8"/>
  <c r="J265" i="8"/>
  <c r="AE32" i="6"/>
  <c r="DY31" i="17" s="1"/>
  <c r="DZ31" i="17" s="1"/>
  <c r="AE31" i="6"/>
  <c r="DY30" i="17" s="1"/>
  <c r="AE12" i="6"/>
  <c r="DY11" i="17" s="1"/>
  <c r="DZ11" i="17" s="1"/>
  <c r="AE13" i="6"/>
  <c r="DY12" i="17" s="1"/>
  <c r="DZ12" i="17" s="1"/>
  <c r="AE14" i="6"/>
  <c r="DY13" i="17" s="1"/>
  <c r="DZ13" i="17" s="1"/>
  <c r="AE15" i="6"/>
  <c r="DY14" i="17" s="1"/>
  <c r="DZ14" i="17" s="1"/>
  <c r="AE16" i="6"/>
  <c r="DY15" i="17" s="1"/>
  <c r="DZ15" i="17" s="1"/>
  <c r="AE17" i="6"/>
  <c r="DY16" i="17" s="1"/>
  <c r="DZ16" i="17" s="1"/>
  <c r="AE18" i="6"/>
  <c r="DY17" i="17" s="1"/>
  <c r="DZ17" i="17" s="1"/>
  <c r="AE19" i="6"/>
  <c r="DY18" i="17" s="1"/>
  <c r="DZ18" i="17" s="1"/>
  <c r="AE20" i="6"/>
  <c r="DY19" i="17" s="1"/>
  <c r="DZ19" i="17" s="1"/>
  <c r="AE21" i="6"/>
  <c r="DY20" i="17" s="1"/>
  <c r="DZ20" i="17" s="1"/>
  <c r="AE22" i="6"/>
  <c r="DY21" i="17" s="1"/>
  <c r="DZ21" i="17" s="1"/>
  <c r="AE23" i="6"/>
  <c r="DY22" i="17" s="1"/>
  <c r="DZ22" i="17" s="1"/>
  <c r="AE24" i="6"/>
  <c r="DY23" i="17" s="1"/>
  <c r="DZ23" i="17" s="1"/>
  <c r="AE25" i="6"/>
  <c r="DY24" i="17" s="1"/>
  <c r="DZ24" i="17" s="1"/>
  <c r="AE26" i="6"/>
  <c r="DY25" i="17" s="1"/>
  <c r="DZ25" i="17" s="1"/>
  <c r="AE27" i="6"/>
  <c r="DY26" i="17" s="1"/>
  <c r="DZ26" i="17" s="1"/>
  <c r="AE28" i="6"/>
  <c r="DY27" i="17" s="1"/>
  <c r="DZ27" i="17" s="1"/>
  <c r="AE11" i="6"/>
  <c r="DY10" i="17" s="1"/>
  <c r="GI33" i="2"/>
  <c r="AD32" i="6" s="1"/>
  <c r="DU31" i="17" s="1"/>
  <c r="DV31" i="17" s="1"/>
  <c r="GH33" i="2"/>
  <c r="GI32" i="2"/>
  <c r="AD31" i="6" s="1"/>
  <c r="DU30" i="17" s="1"/>
  <c r="GH32" i="2"/>
  <c r="GH13" i="2"/>
  <c r="GI13" i="2"/>
  <c r="AD12" i="6" s="1"/>
  <c r="DU11" i="17" s="1"/>
  <c r="DV11" i="17" s="1"/>
  <c r="GH14" i="2"/>
  <c r="GI14" i="2"/>
  <c r="AD13" i="6" s="1"/>
  <c r="DU12" i="17" s="1"/>
  <c r="DV12" i="17" s="1"/>
  <c r="GH15" i="2"/>
  <c r="GI15" i="2"/>
  <c r="AD14" i="6" s="1"/>
  <c r="DU13" i="17" s="1"/>
  <c r="DV13" i="17" s="1"/>
  <c r="GI16" i="2"/>
  <c r="AD15" i="6" s="1"/>
  <c r="DU14" i="17" s="1"/>
  <c r="DV14" i="17" s="1"/>
  <c r="GH17" i="2"/>
  <c r="GI17" i="2"/>
  <c r="AD16" i="6" s="1"/>
  <c r="DU15" i="17" s="1"/>
  <c r="DV15" i="17" s="1"/>
  <c r="GH18" i="2"/>
  <c r="GI18" i="2"/>
  <c r="AD17" i="6" s="1"/>
  <c r="DU16" i="17" s="1"/>
  <c r="DV16" i="17" s="1"/>
  <c r="GH19" i="2"/>
  <c r="GI19" i="2"/>
  <c r="AD18" i="6" s="1"/>
  <c r="DU17" i="17" s="1"/>
  <c r="DV17" i="17" s="1"/>
  <c r="GH20" i="2"/>
  <c r="GI20" i="2"/>
  <c r="AD19" i="6" s="1"/>
  <c r="DU18" i="17" s="1"/>
  <c r="DV18" i="17" s="1"/>
  <c r="GH21" i="2"/>
  <c r="GI21" i="2"/>
  <c r="AD20" i="6" s="1"/>
  <c r="DU19" i="17" s="1"/>
  <c r="DV19" i="17" s="1"/>
  <c r="GH22" i="2"/>
  <c r="GI22" i="2"/>
  <c r="AD21" i="6" s="1"/>
  <c r="DU20" i="17" s="1"/>
  <c r="DV20" i="17" s="1"/>
  <c r="GH23" i="2"/>
  <c r="GI23" i="2"/>
  <c r="AD22" i="6" s="1"/>
  <c r="DU21" i="17" s="1"/>
  <c r="DV21" i="17" s="1"/>
  <c r="GH24" i="2"/>
  <c r="GI24" i="2"/>
  <c r="AD23" i="6" s="1"/>
  <c r="DU22" i="17" s="1"/>
  <c r="DV22" i="17" s="1"/>
  <c r="GH25" i="2"/>
  <c r="GI25" i="2"/>
  <c r="AD24" i="6" s="1"/>
  <c r="DU23" i="17" s="1"/>
  <c r="DV23" i="17" s="1"/>
  <c r="GH26" i="2"/>
  <c r="GI26" i="2"/>
  <c r="AD25" i="6" s="1"/>
  <c r="DU24" i="17" s="1"/>
  <c r="DV24" i="17" s="1"/>
  <c r="GH27" i="2"/>
  <c r="GI27" i="2"/>
  <c r="GH28" i="2"/>
  <c r="GI28" i="2"/>
  <c r="AD27" i="6" s="1"/>
  <c r="DU26" i="17" s="1"/>
  <c r="DV26" i="17" s="1"/>
  <c r="GH29" i="2"/>
  <c r="GI29" i="2"/>
  <c r="GI12" i="2"/>
  <c r="AD11" i="6" s="1"/>
  <c r="DU10" i="17" s="1"/>
  <c r="GH12" i="2"/>
  <c r="GL34" i="2"/>
  <c r="GK34" i="2"/>
  <c r="GJ33" i="2"/>
  <c r="GJ32" i="2"/>
  <c r="GL30" i="2"/>
  <c r="GL37" i="2" s="1"/>
  <c r="GK30" i="2"/>
  <c r="GK37" i="2" s="1"/>
  <c r="GJ29" i="2"/>
  <c r="GJ28" i="2"/>
  <c r="GJ27" i="2"/>
  <c r="GJ26" i="2"/>
  <c r="GJ25" i="2"/>
  <c r="GJ24" i="2"/>
  <c r="GJ23" i="2"/>
  <c r="GJ22" i="2"/>
  <c r="GJ21" i="2"/>
  <c r="GJ20" i="2"/>
  <c r="GJ19" i="2"/>
  <c r="GJ18" i="2"/>
  <c r="GJ17" i="2"/>
  <c r="GJ16" i="2"/>
  <c r="GJ15" i="2"/>
  <c r="GJ14" i="2"/>
  <c r="GJ13" i="2"/>
  <c r="GJ12" i="2"/>
  <c r="F268" i="8" l="1"/>
  <c r="F269" i="8" s="1"/>
  <c r="GL42" i="2"/>
  <c r="F265" i="8"/>
  <c r="F266" i="8" s="1"/>
  <c r="GK42" i="2"/>
  <c r="DZ10" i="17"/>
  <c r="DZ28" i="17" s="1"/>
  <c r="DY28" i="17"/>
  <c r="DZ30" i="17"/>
  <c r="DZ32" i="17" s="1"/>
  <c r="DY32" i="17"/>
  <c r="DV10" i="17"/>
  <c r="DV30" i="17"/>
  <c r="DV32" i="17" s="1"/>
  <c r="DU32" i="17"/>
  <c r="AE33" i="6"/>
  <c r="GJ34" i="2"/>
  <c r="GJ30" i="2"/>
  <c r="AE29" i="6"/>
  <c r="C15" i="7"/>
  <c r="GG25" i="2"/>
  <c r="GG23" i="2"/>
  <c r="GG21" i="2"/>
  <c r="GG19" i="2"/>
  <c r="GG17" i="2"/>
  <c r="GG15" i="2"/>
  <c r="GG13" i="2"/>
  <c r="GG28" i="2"/>
  <c r="GG26" i="2"/>
  <c r="GG24" i="2"/>
  <c r="GG22" i="2"/>
  <c r="GG20" i="2"/>
  <c r="GG18" i="2"/>
  <c r="GG14" i="2"/>
  <c r="AD33" i="6"/>
  <c r="GG12" i="2"/>
  <c r="GG32" i="2"/>
  <c r="GG29" i="2"/>
  <c r="GG27" i="2"/>
  <c r="GG33" i="2"/>
  <c r="GI30" i="2"/>
  <c r="AD28" i="6"/>
  <c r="DU27" i="17" s="1"/>
  <c r="DV27" i="17" s="1"/>
  <c r="AD26" i="6"/>
  <c r="DU25" i="17" s="1"/>
  <c r="DV25" i="17" s="1"/>
  <c r="GI34" i="2"/>
  <c r="GH34" i="2"/>
  <c r="GJ37" i="2" l="1"/>
  <c r="DY35" i="17"/>
  <c r="DZ35" i="17"/>
  <c r="DV28" i="17"/>
  <c r="DV35" i="17" s="1"/>
  <c r="DU28" i="17"/>
  <c r="DU35" i="17" s="1"/>
  <c r="AE36" i="6"/>
  <c r="GG34" i="2"/>
  <c r="AD29" i="6"/>
  <c r="AD36" i="6" s="1"/>
  <c r="GI37" i="2"/>
  <c r="E268" i="8" s="1"/>
  <c r="DY36" i="17" l="1"/>
  <c r="DU36" i="17"/>
  <c r="B15" i="7"/>
  <c r="E269" i="8"/>
  <c r="G268" i="8"/>
  <c r="I268" i="8" s="1"/>
  <c r="H268" i="8"/>
  <c r="DG14" i="2"/>
  <c r="DG15" i="2"/>
  <c r="DG16" i="2"/>
  <c r="DG17" i="2"/>
  <c r="DG18" i="2"/>
  <c r="DG19" i="2"/>
  <c r="DG20" i="2"/>
  <c r="DG21" i="2"/>
  <c r="DG23" i="2"/>
  <c r="DG24" i="2"/>
  <c r="DG25" i="2"/>
  <c r="DG26" i="2"/>
  <c r="DG27" i="2"/>
  <c r="DG28" i="2"/>
  <c r="DG29" i="2"/>
  <c r="DG12" i="2"/>
  <c r="CY14" i="2"/>
  <c r="CY15" i="2"/>
  <c r="CY16" i="2"/>
  <c r="CY17" i="2"/>
  <c r="CY18" i="2"/>
  <c r="CY19" i="2"/>
  <c r="CY20" i="2"/>
  <c r="CY21" i="2"/>
  <c r="CY23" i="2"/>
  <c r="CY24" i="2"/>
  <c r="CY25" i="2"/>
  <c r="CY26" i="2"/>
  <c r="CY27" i="2"/>
  <c r="CY28" i="2"/>
  <c r="CY29" i="2"/>
  <c r="CY12" i="2"/>
  <c r="AF14" i="17" l="1"/>
  <c r="AF23" i="17"/>
  <c r="AF19" i="17"/>
  <c r="AF15" i="17"/>
  <c r="AF27" i="17"/>
  <c r="AF10" i="17"/>
  <c r="AF25" i="17"/>
  <c r="AF21" i="17"/>
  <c r="AF16" i="17"/>
  <c r="AF12" i="17"/>
  <c r="AF18" i="17"/>
  <c r="AF24" i="17"/>
  <c r="AF26" i="17"/>
  <c r="AF22" i="17"/>
  <c r="AF17" i="17"/>
  <c r="AF13" i="17"/>
  <c r="G269" i="8"/>
  <c r="I269" i="8" s="1"/>
  <c r="H269" i="8"/>
  <c r="E36" i="8"/>
  <c r="F36" i="8"/>
  <c r="D36" i="8"/>
  <c r="D34" i="8"/>
  <c r="BK32" i="6"/>
  <c r="IO31" i="17" s="1"/>
  <c r="IP31" i="17" s="1"/>
  <c r="BJ32" i="6"/>
  <c r="IK31" i="17" s="1"/>
  <c r="IL31" i="17" s="1"/>
  <c r="BK31" i="6"/>
  <c r="IO30" i="17" s="1"/>
  <c r="BJ31" i="6"/>
  <c r="IK30" i="17" s="1"/>
  <c r="BK12" i="6"/>
  <c r="IO11" i="17" s="1"/>
  <c r="BK13" i="6"/>
  <c r="IO12" i="17" s="1"/>
  <c r="BK14" i="6"/>
  <c r="IO13" i="17" s="1"/>
  <c r="BK15" i="6"/>
  <c r="IO14" i="17" s="1"/>
  <c r="BK16" i="6"/>
  <c r="IO15" i="17" s="1"/>
  <c r="BK17" i="6"/>
  <c r="IO16" i="17" s="1"/>
  <c r="BK18" i="6"/>
  <c r="IO17" i="17" s="1"/>
  <c r="BK19" i="6"/>
  <c r="IO18" i="17" s="1"/>
  <c r="BK20" i="6"/>
  <c r="IO19" i="17" s="1"/>
  <c r="BK21" i="6"/>
  <c r="IO20" i="17" s="1"/>
  <c r="BK22" i="6"/>
  <c r="IO21" i="17" s="1"/>
  <c r="BK23" i="6"/>
  <c r="IO22" i="17" s="1"/>
  <c r="BK24" i="6"/>
  <c r="IO23" i="17" s="1"/>
  <c r="BK25" i="6"/>
  <c r="IO24" i="17" s="1"/>
  <c r="BK26" i="6"/>
  <c r="IO25" i="17" s="1"/>
  <c r="BK27" i="6"/>
  <c r="IO26" i="17" s="1"/>
  <c r="BK28" i="6"/>
  <c r="IO27" i="17" s="1"/>
  <c r="BK11" i="6"/>
  <c r="IO10" i="17" s="1"/>
  <c r="NW34" i="2"/>
  <c r="NV34" i="2"/>
  <c r="OD34" i="2"/>
  <c r="OC34" i="2"/>
  <c r="OD30" i="2"/>
  <c r="OC30" i="2"/>
  <c r="IO28" i="17" l="1"/>
  <c r="IP30" i="17"/>
  <c r="IP32" i="17" s="1"/>
  <c r="IP35" i="17" s="1"/>
  <c r="IO32" i="17"/>
  <c r="IK32" i="17"/>
  <c r="IL30" i="17"/>
  <c r="IL32" i="17" s="1"/>
  <c r="OC37" i="2"/>
  <c r="OC42" i="2" s="1"/>
  <c r="OD37" i="2"/>
  <c r="OD42" i="2" s="1"/>
  <c r="D135" i="8"/>
  <c r="AL13" i="2"/>
  <c r="AM13" i="2"/>
  <c r="AN13" i="2"/>
  <c r="AO13" i="2"/>
  <c r="AL14" i="2"/>
  <c r="AM14" i="2"/>
  <c r="AN14" i="2"/>
  <c r="AO14" i="2"/>
  <c r="AL15" i="2"/>
  <c r="AM15" i="2"/>
  <c r="AN15" i="2"/>
  <c r="AO15" i="2"/>
  <c r="AL16" i="2"/>
  <c r="AM16" i="2"/>
  <c r="AN16" i="2"/>
  <c r="AO16" i="2"/>
  <c r="AL17" i="2"/>
  <c r="AM17" i="2"/>
  <c r="AN17" i="2"/>
  <c r="AO17" i="2"/>
  <c r="AL18" i="2"/>
  <c r="AM18" i="2"/>
  <c r="AN18" i="2"/>
  <c r="AO18" i="2"/>
  <c r="AL19" i="2"/>
  <c r="AM19" i="2"/>
  <c r="AN19" i="2"/>
  <c r="AO19" i="2"/>
  <c r="AL20" i="2"/>
  <c r="AM20" i="2"/>
  <c r="AN20" i="2"/>
  <c r="AO20" i="2"/>
  <c r="AL21" i="2"/>
  <c r="AM21" i="2"/>
  <c r="AN21" i="2"/>
  <c r="AO21" i="2"/>
  <c r="AL22" i="2"/>
  <c r="AM22" i="2"/>
  <c r="AN22" i="2"/>
  <c r="AO22" i="2"/>
  <c r="AL23" i="2"/>
  <c r="AM23" i="2"/>
  <c r="AN23" i="2"/>
  <c r="AO23" i="2"/>
  <c r="AL24" i="2"/>
  <c r="AM24" i="2"/>
  <c r="AN24" i="2"/>
  <c r="AO24" i="2"/>
  <c r="AL25" i="2"/>
  <c r="AM25" i="2"/>
  <c r="AN25" i="2"/>
  <c r="AO25" i="2"/>
  <c r="AL26" i="2"/>
  <c r="AM26" i="2"/>
  <c r="AN26" i="2"/>
  <c r="AO26" i="2"/>
  <c r="AL27" i="2"/>
  <c r="AM27" i="2"/>
  <c r="AN27" i="2"/>
  <c r="AO27" i="2"/>
  <c r="AL28" i="2"/>
  <c r="AM28" i="2"/>
  <c r="AN28" i="2"/>
  <c r="AO28" i="2"/>
  <c r="AL29" i="2"/>
  <c r="AM29" i="2"/>
  <c r="AN29" i="2"/>
  <c r="AO29" i="2"/>
  <c r="AL32" i="2"/>
  <c r="AM32" i="2"/>
  <c r="AN32" i="2"/>
  <c r="AO32" i="2"/>
  <c r="AL33" i="2"/>
  <c r="AM33" i="2"/>
  <c r="AN33" i="2"/>
  <c r="AO33" i="2"/>
  <c r="AO12" i="2"/>
  <c r="AN12" i="2"/>
  <c r="AM12" i="2"/>
  <c r="AL12" i="2"/>
  <c r="AX13" i="2"/>
  <c r="AY13" i="2"/>
  <c r="AZ13" i="2"/>
  <c r="AX14" i="2"/>
  <c r="AY14" i="2"/>
  <c r="AZ14" i="2"/>
  <c r="AX15" i="2"/>
  <c r="AY15" i="2"/>
  <c r="AZ15" i="2"/>
  <c r="AX16" i="2"/>
  <c r="AY16" i="2"/>
  <c r="AZ16" i="2"/>
  <c r="AX17" i="2"/>
  <c r="AY17" i="2"/>
  <c r="AZ17" i="2"/>
  <c r="AX18" i="2"/>
  <c r="AY18" i="2"/>
  <c r="AZ18" i="2"/>
  <c r="AX19" i="2"/>
  <c r="AY19" i="2"/>
  <c r="AZ19" i="2"/>
  <c r="AX20" i="2"/>
  <c r="AY20" i="2"/>
  <c r="AZ20" i="2"/>
  <c r="AX21" i="2"/>
  <c r="AY21" i="2"/>
  <c r="AZ21" i="2"/>
  <c r="AX22" i="2"/>
  <c r="AY22" i="2"/>
  <c r="AZ22" i="2"/>
  <c r="AX23" i="2"/>
  <c r="AY23" i="2"/>
  <c r="AZ23" i="2"/>
  <c r="AX24" i="2"/>
  <c r="AY24" i="2"/>
  <c r="AZ24" i="2"/>
  <c r="AX25" i="2"/>
  <c r="AY25" i="2"/>
  <c r="AZ25" i="2"/>
  <c r="AX26" i="2"/>
  <c r="AY26" i="2"/>
  <c r="AZ26" i="2"/>
  <c r="AX27" i="2"/>
  <c r="AY27" i="2"/>
  <c r="AZ27" i="2"/>
  <c r="AX28" i="2"/>
  <c r="AY28" i="2"/>
  <c r="AZ28" i="2"/>
  <c r="AX29" i="2"/>
  <c r="AY29" i="2"/>
  <c r="AZ29" i="2"/>
  <c r="AZ12" i="2"/>
  <c r="AY12" i="2"/>
  <c r="AX12" i="2"/>
  <c r="BN13" i="2"/>
  <c r="BO13" i="2"/>
  <c r="BP13" i="2"/>
  <c r="BN14" i="2"/>
  <c r="BO14" i="2"/>
  <c r="BP14" i="2"/>
  <c r="BN15" i="2"/>
  <c r="BO15" i="2"/>
  <c r="BP15" i="2"/>
  <c r="BN16" i="2"/>
  <c r="BO16" i="2"/>
  <c r="BP16" i="2"/>
  <c r="BN17" i="2"/>
  <c r="BO17" i="2"/>
  <c r="BP17" i="2"/>
  <c r="BN18" i="2"/>
  <c r="BO18" i="2"/>
  <c r="BP18" i="2"/>
  <c r="BN19" i="2"/>
  <c r="BO19" i="2"/>
  <c r="BP19" i="2"/>
  <c r="BN20" i="2"/>
  <c r="BO20" i="2"/>
  <c r="BP20" i="2"/>
  <c r="BN21" i="2"/>
  <c r="BO21" i="2"/>
  <c r="BP21" i="2"/>
  <c r="BN22" i="2"/>
  <c r="BO22" i="2"/>
  <c r="BP22" i="2"/>
  <c r="BN23" i="2"/>
  <c r="BO23" i="2"/>
  <c r="BP23" i="2"/>
  <c r="BN24" i="2"/>
  <c r="BO24" i="2"/>
  <c r="BP24" i="2"/>
  <c r="BN25" i="2"/>
  <c r="BO25" i="2"/>
  <c r="BP25" i="2"/>
  <c r="BN26" i="2"/>
  <c r="BO26" i="2"/>
  <c r="BP26" i="2"/>
  <c r="BN27" i="2"/>
  <c r="BO27" i="2"/>
  <c r="BP27" i="2"/>
  <c r="BN28" i="2"/>
  <c r="BO28" i="2"/>
  <c r="BP28" i="2"/>
  <c r="BN29" i="2"/>
  <c r="BO29" i="2"/>
  <c r="BP29" i="2"/>
  <c r="BP12" i="2"/>
  <c r="BO12" i="2"/>
  <c r="BN12" i="2"/>
  <c r="CF13" i="2"/>
  <c r="CI13" i="2"/>
  <c r="CF14" i="2"/>
  <c r="CI14" i="2"/>
  <c r="CF15" i="2"/>
  <c r="CG15" i="2"/>
  <c r="CI15" i="2"/>
  <c r="CF16" i="2"/>
  <c r="CG16" i="2"/>
  <c r="CI16" i="2"/>
  <c r="CF17" i="2"/>
  <c r="CG17" i="2"/>
  <c r="CI17" i="2"/>
  <c r="CF18" i="2"/>
  <c r="CG18" i="2"/>
  <c r="CI18" i="2"/>
  <c r="CF19" i="2"/>
  <c r="CG19" i="2"/>
  <c r="CI19" i="2"/>
  <c r="CF20" i="2"/>
  <c r="CG20" i="2"/>
  <c r="CI20" i="2"/>
  <c r="CF21" i="2"/>
  <c r="CG21" i="2"/>
  <c r="CI21" i="2"/>
  <c r="CF22" i="2"/>
  <c r="CI22" i="2"/>
  <c r="CF23" i="2"/>
  <c r="CG23" i="2"/>
  <c r="CI23" i="2"/>
  <c r="CF24" i="2"/>
  <c r="CG24" i="2"/>
  <c r="CI24" i="2"/>
  <c r="CF25" i="2"/>
  <c r="CG25" i="2"/>
  <c r="CI25" i="2"/>
  <c r="CF26" i="2"/>
  <c r="CG26" i="2"/>
  <c r="CI26" i="2"/>
  <c r="CF27" i="2"/>
  <c r="CI27" i="2"/>
  <c r="CF28" i="2"/>
  <c r="CG28" i="2"/>
  <c r="CI28" i="2"/>
  <c r="CF29" i="2"/>
  <c r="CG29" i="2"/>
  <c r="CI29" i="2"/>
  <c r="CI12" i="2"/>
  <c r="CG12" i="2"/>
  <c r="CF12" i="2"/>
  <c r="BV13" i="2"/>
  <c r="BW13" i="2"/>
  <c r="BY13" i="2"/>
  <c r="BV14" i="2"/>
  <c r="BY14" i="2"/>
  <c r="BV15" i="2"/>
  <c r="BY15" i="2"/>
  <c r="BV16" i="2"/>
  <c r="BY16" i="2"/>
  <c r="BV17" i="2"/>
  <c r="BY17" i="2"/>
  <c r="BV18" i="2"/>
  <c r="BY18" i="2"/>
  <c r="BV19" i="2"/>
  <c r="BY19" i="2"/>
  <c r="BV20" i="2"/>
  <c r="BW20" i="2"/>
  <c r="BY20" i="2"/>
  <c r="BV21" i="2"/>
  <c r="BY21" i="2"/>
  <c r="BV22" i="2"/>
  <c r="BW22" i="2"/>
  <c r="BY22" i="2"/>
  <c r="BW23" i="2"/>
  <c r="BY23" i="2"/>
  <c r="BV24" i="2"/>
  <c r="BY24" i="2"/>
  <c r="BV25" i="2"/>
  <c r="BW25" i="2"/>
  <c r="BY25" i="2"/>
  <c r="BV26" i="2"/>
  <c r="BY26" i="2"/>
  <c r="BV27" i="2"/>
  <c r="BW27" i="2"/>
  <c r="BY27" i="2"/>
  <c r="BY28" i="2"/>
  <c r="BV29" i="2"/>
  <c r="BY29" i="2"/>
  <c r="BV32" i="2"/>
  <c r="BW32" i="2"/>
  <c r="BY32" i="2"/>
  <c r="BW33" i="2"/>
  <c r="BY12" i="2"/>
  <c r="BV12" i="2"/>
  <c r="CS29" i="2"/>
  <c r="AD27" i="17" s="1"/>
  <c r="CS13" i="2"/>
  <c r="AD11" i="17" s="1"/>
  <c r="CS14" i="2"/>
  <c r="AD12" i="17" s="1"/>
  <c r="CS15" i="2"/>
  <c r="AD13" i="17" s="1"/>
  <c r="CU15" i="2"/>
  <c r="CS16" i="2"/>
  <c r="AD14" i="17" s="1"/>
  <c r="CU16" i="2"/>
  <c r="CS17" i="2"/>
  <c r="AD15" i="17" s="1"/>
  <c r="CU17" i="2"/>
  <c r="CU18" i="2"/>
  <c r="CS19" i="2"/>
  <c r="AD17" i="17" s="1"/>
  <c r="CU19" i="2"/>
  <c r="CS20" i="2"/>
  <c r="AD18" i="17" s="1"/>
  <c r="CU20" i="2"/>
  <c r="CS21" i="2"/>
  <c r="AD19" i="17" s="1"/>
  <c r="CU21" i="2"/>
  <c r="CS22" i="2"/>
  <c r="AD20" i="17" s="1"/>
  <c r="CS23" i="2"/>
  <c r="AD21" i="17" s="1"/>
  <c r="CU23" i="2"/>
  <c r="CS24" i="2"/>
  <c r="AD22" i="17" s="1"/>
  <c r="CU24" i="2"/>
  <c r="CS25" i="2"/>
  <c r="AD23" i="17" s="1"/>
  <c r="CU25" i="2"/>
  <c r="CS26" i="2"/>
  <c r="AD24" i="17" s="1"/>
  <c r="CU26" i="2"/>
  <c r="CS27" i="2"/>
  <c r="AD25" i="17" s="1"/>
  <c r="CU27" i="2"/>
  <c r="CS28" i="2"/>
  <c r="AD26" i="17" s="1"/>
  <c r="CU28" i="2"/>
  <c r="CU29" i="2"/>
  <c r="CS12" i="2"/>
  <c r="AD10" i="17" s="1"/>
  <c r="CU12" i="2"/>
  <c r="DA13" i="2"/>
  <c r="DA14" i="2"/>
  <c r="DA15" i="2"/>
  <c r="DC15" i="2"/>
  <c r="DA16" i="2"/>
  <c r="DC16" i="2"/>
  <c r="DA17" i="2"/>
  <c r="DC17" i="2"/>
  <c r="DC18" i="2"/>
  <c r="DA19" i="2"/>
  <c r="DC19" i="2"/>
  <c r="DA20" i="2"/>
  <c r="DC20" i="2"/>
  <c r="DA21" i="2"/>
  <c r="DC21" i="2"/>
  <c r="DA22" i="2"/>
  <c r="DA23" i="2"/>
  <c r="DC23" i="2"/>
  <c r="DA24" i="2"/>
  <c r="DC24" i="2"/>
  <c r="DA25" i="2"/>
  <c r="DC25" i="2"/>
  <c r="DA26" i="2"/>
  <c r="DC26" i="2"/>
  <c r="DA27" i="2"/>
  <c r="DC27" i="2"/>
  <c r="DA28" i="2"/>
  <c r="DC28" i="2"/>
  <c r="DA29" i="2"/>
  <c r="DC29" i="2"/>
  <c r="DC12" i="2"/>
  <c r="DA12" i="2"/>
  <c r="DK13" i="2"/>
  <c r="DL13" i="2"/>
  <c r="DK14" i="2"/>
  <c r="DL14" i="2"/>
  <c r="DK15" i="2"/>
  <c r="DL15" i="2"/>
  <c r="DK16" i="2"/>
  <c r="DL16" i="2"/>
  <c r="DK17" i="2"/>
  <c r="DL17" i="2"/>
  <c r="DK18" i="2"/>
  <c r="DL18" i="2"/>
  <c r="DK19" i="2"/>
  <c r="DL19" i="2"/>
  <c r="DK20" i="2"/>
  <c r="DL20" i="2"/>
  <c r="DK21" i="2"/>
  <c r="DL21" i="2"/>
  <c r="DK22" i="2"/>
  <c r="DL22" i="2"/>
  <c r="DK23" i="2"/>
  <c r="DL23" i="2"/>
  <c r="DK24" i="2"/>
  <c r="DL24" i="2"/>
  <c r="DK25" i="2"/>
  <c r="DL25" i="2"/>
  <c r="DK26" i="2"/>
  <c r="DL26" i="2"/>
  <c r="DK27" i="2"/>
  <c r="DL27" i="2"/>
  <c r="DK28" i="2"/>
  <c r="DL28" i="2"/>
  <c r="DK29" i="2"/>
  <c r="DL29" i="2"/>
  <c r="DK32" i="2"/>
  <c r="DL32" i="2"/>
  <c r="DK33" i="2"/>
  <c r="DL33" i="2"/>
  <c r="DL12" i="2"/>
  <c r="DK12" i="2"/>
  <c r="DR13" i="2"/>
  <c r="DS13" i="2"/>
  <c r="DT13" i="2"/>
  <c r="DU13" i="2"/>
  <c r="DV13" i="2"/>
  <c r="DW13" i="2"/>
  <c r="DR14" i="2"/>
  <c r="DS14" i="2"/>
  <c r="DT14" i="2"/>
  <c r="DU14" i="2"/>
  <c r="DV14" i="2"/>
  <c r="DW14" i="2"/>
  <c r="DR15" i="2"/>
  <c r="DS15" i="2"/>
  <c r="DT15" i="2"/>
  <c r="DU15" i="2"/>
  <c r="DV15" i="2"/>
  <c r="DW15" i="2"/>
  <c r="DR16" i="2"/>
  <c r="DS16" i="2"/>
  <c r="DT16" i="2"/>
  <c r="DU16" i="2"/>
  <c r="DV16" i="2"/>
  <c r="DW16" i="2"/>
  <c r="DR17" i="2"/>
  <c r="DS17" i="2"/>
  <c r="DT17" i="2"/>
  <c r="DU17" i="2"/>
  <c r="DV17" i="2"/>
  <c r="DW17" i="2"/>
  <c r="DR18" i="2"/>
  <c r="DS18" i="2"/>
  <c r="DT18" i="2"/>
  <c r="DU18" i="2"/>
  <c r="DV18" i="2"/>
  <c r="DW18" i="2"/>
  <c r="DR19" i="2"/>
  <c r="DS19" i="2"/>
  <c r="DT19" i="2"/>
  <c r="DU19" i="2"/>
  <c r="DV19" i="2"/>
  <c r="DW19" i="2"/>
  <c r="DR20" i="2"/>
  <c r="DS20" i="2"/>
  <c r="DT20" i="2"/>
  <c r="DU20" i="2"/>
  <c r="DV20" i="2"/>
  <c r="DW20" i="2"/>
  <c r="DR21" i="2"/>
  <c r="DS21" i="2"/>
  <c r="DT21" i="2"/>
  <c r="DU21" i="2"/>
  <c r="DV21" i="2"/>
  <c r="DW21" i="2"/>
  <c r="DR22" i="2"/>
  <c r="DS22" i="2"/>
  <c r="DT22" i="2"/>
  <c r="DU22" i="2"/>
  <c r="DV22" i="2"/>
  <c r="DW22" i="2"/>
  <c r="DR23" i="2"/>
  <c r="DS23" i="2"/>
  <c r="DT23" i="2"/>
  <c r="DU23" i="2"/>
  <c r="DV23" i="2"/>
  <c r="DW23" i="2"/>
  <c r="DR24" i="2"/>
  <c r="DS24" i="2"/>
  <c r="DT24" i="2"/>
  <c r="DU24" i="2"/>
  <c r="DV24" i="2"/>
  <c r="DW24" i="2"/>
  <c r="DR25" i="2"/>
  <c r="DS25" i="2"/>
  <c r="DT25" i="2"/>
  <c r="DU25" i="2"/>
  <c r="DV25" i="2"/>
  <c r="DW25" i="2"/>
  <c r="DR26" i="2"/>
  <c r="DS26" i="2"/>
  <c r="DT26" i="2"/>
  <c r="DU26" i="2"/>
  <c r="DV26" i="2"/>
  <c r="DW26" i="2"/>
  <c r="DR27" i="2"/>
  <c r="DS27" i="2"/>
  <c r="DT27" i="2"/>
  <c r="DU27" i="2"/>
  <c r="DV27" i="2"/>
  <c r="DW27" i="2"/>
  <c r="DR28" i="2"/>
  <c r="DS28" i="2"/>
  <c r="DT28" i="2"/>
  <c r="DU28" i="2"/>
  <c r="DV28" i="2"/>
  <c r="DW28" i="2"/>
  <c r="DR29" i="2"/>
  <c r="DS29" i="2"/>
  <c r="DT29" i="2"/>
  <c r="DU29" i="2"/>
  <c r="DV29" i="2"/>
  <c r="DW29" i="2"/>
  <c r="DR32" i="2"/>
  <c r="DS32" i="2"/>
  <c r="DT32" i="2"/>
  <c r="DU32" i="2"/>
  <c r="DV32" i="2"/>
  <c r="DW32" i="2"/>
  <c r="DR33" i="2"/>
  <c r="DS33" i="2"/>
  <c r="DT33" i="2"/>
  <c r="DU33" i="2"/>
  <c r="DV33" i="2"/>
  <c r="DW33" i="2"/>
  <c r="DW12" i="2"/>
  <c r="DV12" i="2"/>
  <c r="DU12" i="2"/>
  <c r="DT12" i="2"/>
  <c r="DS12" i="2"/>
  <c r="DR12" i="2"/>
  <c r="EF13" i="2"/>
  <c r="EG13" i="2"/>
  <c r="EF14" i="2"/>
  <c r="EG14" i="2"/>
  <c r="EF15" i="2"/>
  <c r="EG15" i="2"/>
  <c r="EF16" i="2"/>
  <c r="EG16" i="2"/>
  <c r="EF17" i="2"/>
  <c r="EG17" i="2"/>
  <c r="EG18" i="2"/>
  <c r="EF19" i="2"/>
  <c r="EG19" i="2"/>
  <c r="EF20" i="2"/>
  <c r="EG20" i="2"/>
  <c r="EF21" i="2"/>
  <c r="EG21" i="2"/>
  <c r="EF22" i="2"/>
  <c r="EG22" i="2"/>
  <c r="EF23" i="2"/>
  <c r="EG23" i="2"/>
  <c r="EF24" i="2"/>
  <c r="EG24" i="2"/>
  <c r="EF25" i="2"/>
  <c r="EG25" i="2"/>
  <c r="EF26" i="2"/>
  <c r="EG26" i="2"/>
  <c r="EG27" i="2"/>
  <c r="EF28" i="2"/>
  <c r="EG28" i="2"/>
  <c r="EF29" i="2"/>
  <c r="EG29" i="2"/>
  <c r="EF32" i="2"/>
  <c r="EG32" i="2"/>
  <c r="EF33" i="2"/>
  <c r="EG33" i="2"/>
  <c r="EG12" i="2"/>
  <c r="EF12" i="2"/>
  <c r="EL13" i="2"/>
  <c r="EM13" i="2"/>
  <c r="EN13" i="2"/>
  <c r="EO13" i="2"/>
  <c r="EL14" i="2"/>
  <c r="EM14" i="2"/>
  <c r="EN14" i="2"/>
  <c r="EO14" i="2"/>
  <c r="EL15" i="2"/>
  <c r="EM15" i="2"/>
  <c r="EN15" i="2"/>
  <c r="EO15" i="2"/>
  <c r="EL16" i="2"/>
  <c r="EM16" i="2"/>
  <c r="EN16" i="2"/>
  <c r="EO16" i="2"/>
  <c r="EM17" i="2"/>
  <c r="EN17" i="2"/>
  <c r="EO17" i="2"/>
  <c r="EL18" i="2"/>
  <c r="EM18" i="2"/>
  <c r="EN18" i="2"/>
  <c r="EO18" i="2"/>
  <c r="EL19" i="2"/>
  <c r="EM19" i="2"/>
  <c r="EN19" i="2"/>
  <c r="EO19" i="2"/>
  <c r="EL20" i="2"/>
  <c r="EM20" i="2"/>
  <c r="EN20" i="2"/>
  <c r="EO20" i="2"/>
  <c r="EL21" i="2"/>
  <c r="EM21" i="2"/>
  <c r="EN21" i="2"/>
  <c r="EO21" i="2"/>
  <c r="EL22" i="2"/>
  <c r="EM22" i="2"/>
  <c r="EN22" i="2"/>
  <c r="EO22" i="2"/>
  <c r="EL23" i="2"/>
  <c r="EM23" i="2"/>
  <c r="EN23" i="2"/>
  <c r="EO23" i="2"/>
  <c r="EL24" i="2"/>
  <c r="EM24" i="2"/>
  <c r="EN24" i="2"/>
  <c r="EO24" i="2"/>
  <c r="EL25" i="2"/>
  <c r="EM25" i="2"/>
  <c r="EN25" i="2"/>
  <c r="EO25" i="2"/>
  <c r="EL26" i="2"/>
  <c r="EM26" i="2"/>
  <c r="EN26" i="2"/>
  <c r="EO26" i="2"/>
  <c r="EL27" i="2"/>
  <c r="EM27" i="2"/>
  <c r="EN27" i="2"/>
  <c r="EO27" i="2"/>
  <c r="EL28" i="2"/>
  <c r="EM28" i="2"/>
  <c r="EN28" i="2"/>
  <c r="EO28" i="2"/>
  <c r="EL29" i="2"/>
  <c r="EM29" i="2"/>
  <c r="EN29" i="2"/>
  <c r="EO29" i="2"/>
  <c r="EL32" i="2"/>
  <c r="EM32" i="2"/>
  <c r="EN32" i="2"/>
  <c r="EO32" i="2"/>
  <c r="EL33" i="2"/>
  <c r="EM33" i="2"/>
  <c r="EN33" i="2"/>
  <c r="EO33" i="2"/>
  <c r="EO12" i="2"/>
  <c r="EN12" i="2"/>
  <c r="EM12" i="2"/>
  <c r="EZ13" i="2"/>
  <c r="FA13" i="2"/>
  <c r="EZ14" i="2"/>
  <c r="FA14" i="2"/>
  <c r="EZ15" i="2"/>
  <c r="FA15" i="2"/>
  <c r="EZ16" i="2"/>
  <c r="FA16" i="2"/>
  <c r="EZ17" i="2"/>
  <c r="FA17" i="2"/>
  <c r="EZ18" i="2"/>
  <c r="FA18" i="2"/>
  <c r="EZ19" i="2"/>
  <c r="FA19" i="2"/>
  <c r="EZ20" i="2"/>
  <c r="FA20" i="2"/>
  <c r="EZ21" i="2"/>
  <c r="FA21" i="2"/>
  <c r="EZ22" i="2"/>
  <c r="FA22" i="2"/>
  <c r="EZ23" i="2"/>
  <c r="FA23" i="2"/>
  <c r="EZ24" i="2"/>
  <c r="FA24" i="2"/>
  <c r="EZ25" i="2"/>
  <c r="FA25" i="2"/>
  <c r="EZ26" i="2"/>
  <c r="FA26" i="2"/>
  <c r="EZ27" i="2"/>
  <c r="FA27" i="2"/>
  <c r="EZ28" i="2"/>
  <c r="FA28" i="2"/>
  <c r="EZ29" i="2"/>
  <c r="FA29" i="2"/>
  <c r="EZ32" i="2"/>
  <c r="FA32" i="2"/>
  <c r="EZ33" i="2"/>
  <c r="FA33" i="2"/>
  <c r="FA12" i="2"/>
  <c r="EZ12" i="2"/>
  <c r="FF13" i="2"/>
  <c r="FG13" i="2"/>
  <c r="FF14" i="2"/>
  <c r="FG14" i="2"/>
  <c r="FF15" i="2"/>
  <c r="FG15" i="2"/>
  <c r="FF16" i="2"/>
  <c r="FG16" i="2"/>
  <c r="FF17" i="2"/>
  <c r="FG17" i="2"/>
  <c r="FF18" i="2"/>
  <c r="FG18" i="2"/>
  <c r="FF19" i="2"/>
  <c r="FG19" i="2"/>
  <c r="FF20" i="2"/>
  <c r="FG20" i="2"/>
  <c r="FF21" i="2"/>
  <c r="FG21" i="2"/>
  <c r="FF22" i="2"/>
  <c r="FG22" i="2"/>
  <c r="FF23" i="2"/>
  <c r="FG23" i="2"/>
  <c r="FF24" i="2"/>
  <c r="FG24" i="2"/>
  <c r="FF25" i="2"/>
  <c r="FG25" i="2"/>
  <c r="FF26" i="2"/>
  <c r="FG26" i="2"/>
  <c r="FF27" i="2"/>
  <c r="FG27" i="2"/>
  <c r="FF28" i="2"/>
  <c r="FG28" i="2"/>
  <c r="FF29" i="2"/>
  <c r="FG29" i="2"/>
  <c r="FF32" i="2"/>
  <c r="FG32" i="2"/>
  <c r="FF33" i="2"/>
  <c r="FG33" i="2"/>
  <c r="FG12" i="2"/>
  <c r="FF12" i="2"/>
  <c r="FL13" i="2"/>
  <c r="FM13" i="2"/>
  <c r="FL14" i="2"/>
  <c r="FM14" i="2"/>
  <c r="FL15" i="2"/>
  <c r="FM15" i="2"/>
  <c r="FL16" i="2"/>
  <c r="FM16" i="2"/>
  <c r="FL17" i="2"/>
  <c r="FM17" i="2"/>
  <c r="FM18" i="2"/>
  <c r="FL19" i="2"/>
  <c r="FM19" i="2"/>
  <c r="FL20" i="2"/>
  <c r="FM20" i="2"/>
  <c r="FL21" i="2"/>
  <c r="FM21" i="2"/>
  <c r="FL22" i="2"/>
  <c r="FM22" i="2"/>
  <c r="FL23" i="2"/>
  <c r="FM23" i="2"/>
  <c r="FL24" i="2"/>
  <c r="FM24" i="2"/>
  <c r="FL25" i="2"/>
  <c r="FM25" i="2"/>
  <c r="FL26" i="2"/>
  <c r="FM26" i="2"/>
  <c r="FL27" i="2"/>
  <c r="FM27" i="2"/>
  <c r="FL28" i="2"/>
  <c r="FM28" i="2"/>
  <c r="FL29" i="2"/>
  <c r="FM29" i="2"/>
  <c r="FL32" i="2"/>
  <c r="FM32" i="2"/>
  <c r="FM12" i="2"/>
  <c r="FL12" i="2"/>
  <c r="FR13" i="2"/>
  <c r="FS13" i="2"/>
  <c r="FR14" i="2"/>
  <c r="FS14" i="2"/>
  <c r="FR15" i="2"/>
  <c r="FS15" i="2"/>
  <c r="FR16" i="2"/>
  <c r="FS16" i="2"/>
  <c r="FR17" i="2"/>
  <c r="FS17" i="2"/>
  <c r="FR18" i="2"/>
  <c r="FS18" i="2"/>
  <c r="FR19" i="2"/>
  <c r="FS19" i="2"/>
  <c r="FR20" i="2"/>
  <c r="FS20" i="2"/>
  <c r="FR21" i="2"/>
  <c r="FS21" i="2"/>
  <c r="FR22" i="2"/>
  <c r="FS22" i="2"/>
  <c r="FR23" i="2"/>
  <c r="FS23" i="2"/>
  <c r="FR24" i="2"/>
  <c r="FS24" i="2"/>
  <c r="FR25" i="2"/>
  <c r="FS25" i="2"/>
  <c r="FR26" i="2"/>
  <c r="FS26" i="2"/>
  <c r="FR27" i="2"/>
  <c r="FS27" i="2"/>
  <c r="FR28" i="2"/>
  <c r="FS28" i="2"/>
  <c r="FR29" i="2"/>
  <c r="FS29" i="2"/>
  <c r="FR32" i="2"/>
  <c r="FS32" i="2"/>
  <c r="FX13" i="2"/>
  <c r="FY13" i="2"/>
  <c r="FX15" i="2"/>
  <c r="FY15" i="2"/>
  <c r="FX16" i="2"/>
  <c r="FY16" i="2"/>
  <c r="FX17" i="2"/>
  <c r="FY17" i="2"/>
  <c r="FX18" i="2"/>
  <c r="FY18" i="2"/>
  <c r="FX19" i="2"/>
  <c r="FY19" i="2"/>
  <c r="FX20" i="2"/>
  <c r="FY20" i="2"/>
  <c r="FX21" i="2"/>
  <c r="FY21" i="2"/>
  <c r="FX22" i="2"/>
  <c r="FY22" i="2"/>
  <c r="FX23" i="2"/>
  <c r="FY23" i="2"/>
  <c r="FX24" i="2"/>
  <c r="FY24" i="2"/>
  <c r="FX25" i="2"/>
  <c r="FY25" i="2"/>
  <c r="FX26" i="2"/>
  <c r="FY26" i="2"/>
  <c r="FX27" i="2"/>
  <c r="FY27" i="2"/>
  <c r="FX28" i="2"/>
  <c r="FY28" i="2"/>
  <c r="FX29" i="2"/>
  <c r="FY29" i="2"/>
  <c r="FS12" i="2"/>
  <c r="FR12" i="2"/>
  <c r="FY12" i="2"/>
  <c r="FX12" i="2"/>
  <c r="GN32" i="2"/>
  <c r="GO32" i="2"/>
  <c r="GO33" i="2"/>
  <c r="GN33" i="2"/>
  <c r="GT13" i="2"/>
  <c r="GU13" i="2"/>
  <c r="GT14" i="2"/>
  <c r="GU14" i="2"/>
  <c r="GT15" i="2"/>
  <c r="GU15" i="2"/>
  <c r="GT16" i="2"/>
  <c r="GU16" i="2"/>
  <c r="GT17" i="2"/>
  <c r="GU17" i="2"/>
  <c r="GT18" i="2"/>
  <c r="GT19" i="2"/>
  <c r="GU19" i="2"/>
  <c r="GT20" i="2"/>
  <c r="GU20" i="2"/>
  <c r="GT21" i="2"/>
  <c r="GU21" i="2"/>
  <c r="GT22" i="2"/>
  <c r="GU22" i="2"/>
  <c r="GX22" i="2" s="1"/>
  <c r="GT23" i="2"/>
  <c r="GU23" i="2"/>
  <c r="GT24" i="2"/>
  <c r="GU24" i="2"/>
  <c r="GT25" i="2"/>
  <c r="GU25" i="2"/>
  <c r="GT26" i="2"/>
  <c r="GU26" i="2"/>
  <c r="GT27" i="2"/>
  <c r="GU27" i="2"/>
  <c r="GT28" i="2"/>
  <c r="GT29" i="2"/>
  <c r="GU29" i="2"/>
  <c r="GT12" i="2"/>
  <c r="HF13" i="2"/>
  <c r="HG13" i="2"/>
  <c r="HF14" i="2"/>
  <c r="HG14" i="2"/>
  <c r="HF15" i="2"/>
  <c r="HG15" i="2"/>
  <c r="HF16" i="2"/>
  <c r="HG16" i="2"/>
  <c r="HF17" i="2"/>
  <c r="HG17" i="2"/>
  <c r="HF18" i="2"/>
  <c r="HG18" i="2"/>
  <c r="HF19" i="2"/>
  <c r="HG19" i="2"/>
  <c r="HF20" i="2"/>
  <c r="HG20" i="2"/>
  <c r="HF21" i="2"/>
  <c r="HG21" i="2"/>
  <c r="HF22" i="2"/>
  <c r="HG22" i="2"/>
  <c r="HF23" i="2"/>
  <c r="HG23" i="2"/>
  <c r="HF24" i="2"/>
  <c r="HG24" i="2"/>
  <c r="HF25" i="2"/>
  <c r="HG25" i="2"/>
  <c r="HF26" i="2"/>
  <c r="HG26" i="2"/>
  <c r="HF27" i="2"/>
  <c r="HG27" i="2"/>
  <c r="HF28" i="2"/>
  <c r="HG28" i="2"/>
  <c r="HF29" i="2"/>
  <c r="HG29" i="2"/>
  <c r="HG12" i="2"/>
  <c r="HF12" i="2"/>
  <c r="HL13" i="2"/>
  <c r="HM13" i="2"/>
  <c r="HL14" i="2"/>
  <c r="HM14" i="2"/>
  <c r="HL15" i="2"/>
  <c r="HM15" i="2"/>
  <c r="HL16" i="2"/>
  <c r="HM16" i="2"/>
  <c r="HL17" i="2"/>
  <c r="HM17" i="2"/>
  <c r="HL18" i="2"/>
  <c r="HM18" i="2"/>
  <c r="HL19" i="2"/>
  <c r="HM19" i="2"/>
  <c r="HL20" i="2"/>
  <c r="HM20" i="2"/>
  <c r="HL21" i="2"/>
  <c r="HM21" i="2"/>
  <c r="HL22" i="2"/>
  <c r="HM22" i="2"/>
  <c r="HL23" i="2"/>
  <c r="HM23" i="2"/>
  <c r="HL24" i="2"/>
  <c r="HM24" i="2"/>
  <c r="HL25" i="2"/>
  <c r="HM25" i="2"/>
  <c r="HL26" i="2"/>
  <c r="HM26" i="2"/>
  <c r="HL27" i="2"/>
  <c r="HM27" i="2"/>
  <c r="HL28" i="2"/>
  <c r="HM28" i="2"/>
  <c r="HL29" i="2"/>
  <c r="HM29" i="2"/>
  <c r="HM32" i="2"/>
  <c r="HL33" i="2"/>
  <c r="HM33" i="2"/>
  <c r="HM12" i="2"/>
  <c r="HL12" i="2"/>
  <c r="HR13" i="2"/>
  <c r="HS13" i="2"/>
  <c r="ET11" i="17" s="1"/>
  <c r="HR14" i="2"/>
  <c r="HU14" i="2" s="1"/>
  <c r="IA14" i="2" s="1"/>
  <c r="HS14" i="2"/>
  <c r="HR15" i="2"/>
  <c r="HU15" i="2" s="1"/>
  <c r="IA15" i="2" s="1"/>
  <c r="HS15" i="2"/>
  <c r="HR16" i="2"/>
  <c r="HU16" i="2" s="1"/>
  <c r="IA16" i="2" s="1"/>
  <c r="HS16" i="2"/>
  <c r="HR17" i="2"/>
  <c r="HU17" i="2" s="1"/>
  <c r="HS17" i="2"/>
  <c r="HR18" i="2"/>
  <c r="HU18" i="2" s="1"/>
  <c r="IA18" i="2" s="1"/>
  <c r="HS18" i="2"/>
  <c r="HR20" i="2"/>
  <c r="HS20" i="2"/>
  <c r="ET18" i="17" s="1"/>
  <c r="HR21" i="2"/>
  <c r="HU21" i="2" s="1"/>
  <c r="IA21" i="2" s="1"/>
  <c r="HS21" i="2"/>
  <c r="HR22" i="2"/>
  <c r="HU22" i="2" s="1"/>
  <c r="IA22" i="2" s="1"/>
  <c r="HS22" i="2"/>
  <c r="HR23" i="2"/>
  <c r="HU23" i="2" s="1"/>
  <c r="IA23" i="2" s="1"/>
  <c r="HS23" i="2"/>
  <c r="HR24" i="2"/>
  <c r="HS24" i="2"/>
  <c r="ET22" i="17" s="1"/>
  <c r="HR25" i="2"/>
  <c r="HU25" i="2" s="1"/>
  <c r="IA25" i="2" s="1"/>
  <c r="HS25" i="2"/>
  <c r="HR26" i="2"/>
  <c r="HU26" i="2" s="1"/>
  <c r="IA26" i="2" s="1"/>
  <c r="HS26" i="2"/>
  <c r="HR28" i="2"/>
  <c r="HU28" i="2" s="1"/>
  <c r="IA28" i="2" s="1"/>
  <c r="HS28" i="2"/>
  <c r="HR29" i="2"/>
  <c r="HS29" i="2"/>
  <c r="ET27" i="17" s="1"/>
  <c r="HR32" i="2"/>
  <c r="HS32" i="2"/>
  <c r="HR33" i="2"/>
  <c r="HS33" i="2"/>
  <c r="HS12" i="2"/>
  <c r="ET10" i="17" s="1"/>
  <c r="HR12" i="2"/>
  <c r="HX15" i="2"/>
  <c r="HY15" i="2"/>
  <c r="HX18" i="2"/>
  <c r="HY18" i="2"/>
  <c r="HX20" i="2"/>
  <c r="HY20" i="2"/>
  <c r="HX21" i="2"/>
  <c r="HX23" i="2"/>
  <c r="HX25" i="2"/>
  <c r="HX26" i="2"/>
  <c r="HX28" i="2"/>
  <c r="HY28" i="2"/>
  <c r="HX29" i="2"/>
  <c r="HY12" i="2"/>
  <c r="HX12" i="2"/>
  <c r="IL13" i="2"/>
  <c r="IO13" i="2" s="1"/>
  <c r="IM13" i="2"/>
  <c r="IL14" i="2"/>
  <c r="IM14" i="2"/>
  <c r="EV12" i="17" s="1"/>
  <c r="IL15" i="2"/>
  <c r="IM15" i="2"/>
  <c r="EV13" i="17" s="1"/>
  <c r="IL16" i="2"/>
  <c r="IM16" i="2"/>
  <c r="EV14" i="17" s="1"/>
  <c r="IL17" i="2"/>
  <c r="IM17" i="2"/>
  <c r="EV15" i="17" s="1"/>
  <c r="IL18" i="2"/>
  <c r="IM18" i="2"/>
  <c r="EV16" i="17" s="1"/>
  <c r="IL20" i="2"/>
  <c r="IM20" i="2"/>
  <c r="EV18" i="17" s="1"/>
  <c r="IL21" i="2"/>
  <c r="IM21" i="2"/>
  <c r="EV19" i="17" s="1"/>
  <c r="IL22" i="2"/>
  <c r="IM22" i="2"/>
  <c r="EV20" i="17" s="1"/>
  <c r="IL23" i="2"/>
  <c r="IM23" i="2"/>
  <c r="EV21" i="17" s="1"/>
  <c r="IL24" i="2"/>
  <c r="IM24" i="2"/>
  <c r="EV22" i="17" s="1"/>
  <c r="IL25" i="2"/>
  <c r="IM25" i="2"/>
  <c r="EV23" i="17" s="1"/>
  <c r="IL26" i="2"/>
  <c r="IM26" i="2"/>
  <c r="EV24" i="17" s="1"/>
  <c r="IL27" i="2"/>
  <c r="IO27" i="2" s="1"/>
  <c r="IM27" i="2"/>
  <c r="IL28" i="2"/>
  <c r="IM28" i="2"/>
  <c r="EV26" i="17" s="1"/>
  <c r="IL29" i="2"/>
  <c r="IM29" i="2"/>
  <c r="EV27" i="17" s="1"/>
  <c r="IM12" i="2"/>
  <c r="EV10" i="17" s="1"/>
  <c r="IL12" i="2"/>
  <c r="IT13" i="2"/>
  <c r="IU13" i="2"/>
  <c r="IT14" i="2"/>
  <c r="IU14" i="2"/>
  <c r="IT15" i="2"/>
  <c r="IU15" i="2"/>
  <c r="IT16" i="2"/>
  <c r="IU16" i="2"/>
  <c r="IT17" i="2"/>
  <c r="IU17" i="2"/>
  <c r="IT18" i="2"/>
  <c r="IU18" i="2"/>
  <c r="IT19" i="2"/>
  <c r="IU19" i="2"/>
  <c r="IT20" i="2"/>
  <c r="IU20" i="2"/>
  <c r="IT21" i="2"/>
  <c r="IU21" i="2"/>
  <c r="IT22" i="2"/>
  <c r="IU22" i="2"/>
  <c r="IT23" i="2"/>
  <c r="IU23" i="2"/>
  <c r="IT24" i="2"/>
  <c r="IU24" i="2"/>
  <c r="IT25" i="2"/>
  <c r="IU25" i="2"/>
  <c r="IT26" i="2"/>
  <c r="IU26" i="2"/>
  <c r="IT27" i="2"/>
  <c r="IU27" i="2"/>
  <c r="IT28" i="2"/>
  <c r="IU28" i="2"/>
  <c r="IT29" i="2"/>
  <c r="IU29" i="2"/>
  <c r="IT32" i="2"/>
  <c r="IU32" i="2"/>
  <c r="IT33" i="2"/>
  <c r="IU33" i="2"/>
  <c r="IU12" i="2"/>
  <c r="IT12" i="2"/>
  <c r="IQ12" i="2" s="1"/>
  <c r="KH13" i="2"/>
  <c r="KI13" i="2"/>
  <c r="FD11" i="17" s="1"/>
  <c r="KH14" i="2"/>
  <c r="KI14" i="2"/>
  <c r="FD12" i="17" s="1"/>
  <c r="KH15" i="2"/>
  <c r="KI15" i="2"/>
  <c r="FD13" i="17" s="1"/>
  <c r="KH16" i="2"/>
  <c r="KI16" i="2"/>
  <c r="FD14" i="17" s="1"/>
  <c r="KH17" i="2"/>
  <c r="KI17" i="2"/>
  <c r="FD15" i="17" s="1"/>
  <c r="KH18" i="2"/>
  <c r="KI18" i="2"/>
  <c r="FD16" i="17" s="1"/>
  <c r="KH19" i="2"/>
  <c r="KI19" i="2"/>
  <c r="FD17" i="17" s="1"/>
  <c r="KH20" i="2"/>
  <c r="KI20" i="2"/>
  <c r="FD18" i="17" s="1"/>
  <c r="KH21" i="2"/>
  <c r="KI21" i="2"/>
  <c r="FD19" i="17" s="1"/>
  <c r="KH22" i="2"/>
  <c r="KI22" i="2"/>
  <c r="FD20" i="17" s="1"/>
  <c r="KH23" i="2"/>
  <c r="KI23" i="2"/>
  <c r="FD21" i="17" s="1"/>
  <c r="KH24" i="2"/>
  <c r="KI24" i="2"/>
  <c r="FD22" i="17" s="1"/>
  <c r="KH25" i="2"/>
  <c r="KI25" i="2"/>
  <c r="FD23" i="17" s="1"/>
  <c r="KH26" i="2"/>
  <c r="KI26" i="2"/>
  <c r="FD24" i="17" s="1"/>
  <c r="KH27" i="2"/>
  <c r="KI27" i="2"/>
  <c r="FD25" i="17" s="1"/>
  <c r="KH28" i="2"/>
  <c r="KI28" i="2"/>
  <c r="FD26" i="17" s="1"/>
  <c r="KH29" i="2"/>
  <c r="KI29" i="2"/>
  <c r="FD27" i="17" s="1"/>
  <c r="KI12" i="2"/>
  <c r="FD10" i="17" s="1"/>
  <c r="KH12" i="2"/>
  <c r="KE12" i="2" s="1"/>
  <c r="JN13" i="2"/>
  <c r="JO13" i="2"/>
  <c r="JN14" i="2"/>
  <c r="JO14" i="2"/>
  <c r="JN15" i="2"/>
  <c r="JO15" i="2"/>
  <c r="JO16" i="2"/>
  <c r="JN17" i="2"/>
  <c r="JO17" i="2"/>
  <c r="JN18" i="2"/>
  <c r="JO18" i="2"/>
  <c r="JN19" i="2"/>
  <c r="JO19" i="2"/>
  <c r="JN20" i="2"/>
  <c r="JO20" i="2"/>
  <c r="JN21" i="2"/>
  <c r="JO21" i="2"/>
  <c r="JN22" i="2"/>
  <c r="JO22" i="2"/>
  <c r="JN23" i="2"/>
  <c r="JO23" i="2"/>
  <c r="JN24" i="2"/>
  <c r="JO24" i="2"/>
  <c r="JN25" i="2"/>
  <c r="JO25" i="2"/>
  <c r="JN26" i="2"/>
  <c r="JO26" i="2"/>
  <c r="JN27" i="2"/>
  <c r="JO27" i="2"/>
  <c r="JN28" i="2"/>
  <c r="JO28" i="2"/>
  <c r="JN29" i="2"/>
  <c r="JO29" i="2"/>
  <c r="JO12" i="2"/>
  <c r="JN12" i="2"/>
  <c r="KQ13" i="2"/>
  <c r="KR13" i="2"/>
  <c r="KP14" i="2"/>
  <c r="KQ14" i="2"/>
  <c r="KR14" i="2"/>
  <c r="KP15" i="2"/>
  <c r="KQ15" i="2"/>
  <c r="KR15" i="2"/>
  <c r="KP16" i="2"/>
  <c r="KQ16" i="2"/>
  <c r="KR16" i="2"/>
  <c r="KP17" i="2"/>
  <c r="KQ17" i="2"/>
  <c r="KR17" i="2"/>
  <c r="KP18" i="2"/>
  <c r="KQ18" i="2"/>
  <c r="KR18" i="2"/>
  <c r="KP19" i="2"/>
  <c r="KQ19" i="2"/>
  <c r="KR19" i="2"/>
  <c r="KP20" i="2"/>
  <c r="KQ20" i="2"/>
  <c r="KR20" i="2"/>
  <c r="KP21" i="2"/>
  <c r="KQ21" i="2"/>
  <c r="KR21" i="2"/>
  <c r="KP22" i="2"/>
  <c r="KQ22" i="2"/>
  <c r="KR22" i="2"/>
  <c r="KP23" i="2"/>
  <c r="KQ23" i="2"/>
  <c r="KR23" i="2"/>
  <c r="KP24" i="2"/>
  <c r="KQ24" i="2"/>
  <c r="KR24" i="2"/>
  <c r="KP25" i="2"/>
  <c r="KQ25" i="2"/>
  <c r="KR25" i="2"/>
  <c r="KP26" i="2"/>
  <c r="KQ26" i="2"/>
  <c r="KR26" i="2"/>
  <c r="KP27" i="2"/>
  <c r="KQ27" i="2"/>
  <c r="KR27" i="2"/>
  <c r="KP28" i="2"/>
  <c r="KQ28" i="2"/>
  <c r="KR28" i="2"/>
  <c r="KP29" i="2"/>
  <c r="KQ29" i="2"/>
  <c r="KR29" i="2"/>
  <c r="KP32" i="2"/>
  <c r="KQ32" i="2"/>
  <c r="KR32" i="2"/>
  <c r="KP33" i="2"/>
  <c r="KQ33" i="2"/>
  <c r="KR33" i="2"/>
  <c r="KR12" i="2"/>
  <c r="KQ12" i="2"/>
  <c r="KP12" i="2"/>
  <c r="KX29" i="2"/>
  <c r="KX32" i="2"/>
  <c r="KX33" i="2"/>
  <c r="KX13" i="2"/>
  <c r="KX14" i="2"/>
  <c r="KX15" i="2"/>
  <c r="KX16" i="2"/>
  <c r="KX17" i="2"/>
  <c r="KX18" i="2"/>
  <c r="KX19" i="2"/>
  <c r="KX20" i="2"/>
  <c r="KX21" i="2"/>
  <c r="KX22" i="2"/>
  <c r="KX23" i="2"/>
  <c r="KX24" i="2"/>
  <c r="KX25" i="2"/>
  <c r="KX26" i="2"/>
  <c r="KX27" i="2"/>
  <c r="KX28" i="2"/>
  <c r="KX12" i="2"/>
  <c r="LB29" i="2"/>
  <c r="LC29" i="2"/>
  <c r="LB33" i="2"/>
  <c r="LC33" i="2"/>
  <c r="LB13" i="2"/>
  <c r="LC13" i="2"/>
  <c r="LB14" i="2"/>
  <c r="LC14" i="2"/>
  <c r="LB15" i="2"/>
  <c r="LC15" i="2"/>
  <c r="LB16" i="2"/>
  <c r="LC16" i="2"/>
  <c r="LB17" i="2"/>
  <c r="LC17" i="2"/>
  <c r="LB18" i="2"/>
  <c r="LC18" i="2"/>
  <c r="LB19" i="2"/>
  <c r="LC19" i="2"/>
  <c r="LB20" i="2"/>
  <c r="LC20" i="2"/>
  <c r="LB21" i="2"/>
  <c r="LC21" i="2"/>
  <c r="LB22" i="2"/>
  <c r="LC22" i="2"/>
  <c r="LB23" i="2"/>
  <c r="LC23" i="2"/>
  <c r="LB24" i="2"/>
  <c r="LC24" i="2"/>
  <c r="LB25" i="2"/>
  <c r="LC25" i="2"/>
  <c r="LB26" i="2"/>
  <c r="LC26" i="2"/>
  <c r="LB27" i="2"/>
  <c r="LC27" i="2"/>
  <c r="LB28" i="2"/>
  <c r="LC28" i="2"/>
  <c r="LC12" i="2"/>
  <c r="LB12" i="2"/>
  <c r="LD32" i="2"/>
  <c r="LJ13" i="2"/>
  <c r="LK13" i="2"/>
  <c r="LJ14" i="2"/>
  <c r="LK14" i="2"/>
  <c r="LL14" i="2"/>
  <c r="LJ15" i="2"/>
  <c r="LK15" i="2"/>
  <c r="LJ16" i="2"/>
  <c r="LK16" i="2"/>
  <c r="LL16" i="2"/>
  <c r="LJ17" i="2"/>
  <c r="LK17" i="2"/>
  <c r="LJ18" i="2"/>
  <c r="LK18" i="2"/>
  <c r="LL18" i="2"/>
  <c r="LJ19" i="2"/>
  <c r="LK19" i="2"/>
  <c r="LL19" i="2"/>
  <c r="LJ20" i="2"/>
  <c r="LK20" i="2"/>
  <c r="LL20" i="2"/>
  <c r="LJ21" i="2"/>
  <c r="LK21" i="2"/>
  <c r="LL21" i="2"/>
  <c r="LJ22" i="2"/>
  <c r="LK22" i="2"/>
  <c r="LL22" i="2"/>
  <c r="LJ23" i="2"/>
  <c r="LK23" i="2"/>
  <c r="LL23" i="2"/>
  <c r="LJ24" i="2"/>
  <c r="LK24" i="2"/>
  <c r="LL24" i="2"/>
  <c r="LJ25" i="2"/>
  <c r="LK25" i="2"/>
  <c r="LL25" i="2"/>
  <c r="LJ26" i="2"/>
  <c r="LK26" i="2"/>
  <c r="LJ27" i="2"/>
  <c r="LK27" i="2"/>
  <c r="LJ28" i="2"/>
  <c r="LK28" i="2"/>
  <c r="LJ29" i="2"/>
  <c r="LK29" i="2"/>
  <c r="LK12" i="2"/>
  <c r="LJ12" i="2"/>
  <c r="LZ13" i="2"/>
  <c r="MA13" i="2"/>
  <c r="GZ11" i="17" s="1"/>
  <c r="LZ14" i="2"/>
  <c r="MA14" i="2"/>
  <c r="GZ12" i="17" s="1"/>
  <c r="MB14" i="2"/>
  <c r="LZ15" i="2"/>
  <c r="MA15" i="2"/>
  <c r="GZ13" i="17" s="1"/>
  <c r="MB15" i="2"/>
  <c r="LZ16" i="2"/>
  <c r="MA16" i="2"/>
  <c r="GZ14" i="17" s="1"/>
  <c r="MB16" i="2"/>
  <c r="LZ17" i="2"/>
  <c r="MA17" i="2"/>
  <c r="GZ15" i="17" s="1"/>
  <c r="MB17" i="2"/>
  <c r="LZ18" i="2"/>
  <c r="MA18" i="2"/>
  <c r="GZ16" i="17" s="1"/>
  <c r="MB18" i="2"/>
  <c r="LZ19" i="2"/>
  <c r="MA19" i="2"/>
  <c r="GZ17" i="17" s="1"/>
  <c r="MB19" i="2"/>
  <c r="LZ20" i="2"/>
  <c r="MA20" i="2"/>
  <c r="GZ18" i="17" s="1"/>
  <c r="MB20" i="2"/>
  <c r="LZ21" i="2"/>
  <c r="MA21" i="2"/>
  <c r="GZ19" i="17" s="1"/>
  <c r="MB21" i="2"/>
  <c r="LZ22" i="2"/>
  <c r="MA22" i="2"/>
  <c r="GZ20" i="17" s="1"/>
  <c r="MB22" i="2"/>
  <c r="LZ23" i="2"/>
  <c r="MA23" i="2"/>
  <c r="GZ21" i="17" s="1"/>
  <c r="MB23" i="2"/>
  <c r="LZ24" i="2"/>
  <c r="MA24" i="2"/>
  <c r="GZ22" i="17" s="1"/>
  <c r="MB24" i="2"/>
  <c r="LZ25" i="2"/>
  <c r="MA25" i="2"/>
  <c r="GZ23" i="17" s="1"/>
  <c r="MB25" i="2"/>
  <c r="LZ26" i="2"/>
  <c r="MA26" i="2"/>
  <c r="GZ24" i="17" s="1"/>
  <c r="MB26" i="2"/>
  <c r="LZ27" i="2"/>
  <c r="MA27" i="2"/>
  <c r="GZ25" i="17" s="1"/>
  <c r="MB27" i="2"/>
  <c r="LZ28" i="2"/>
  <c r="MA28" i="2"/>
  <c r="GZ26" i="17" s="1"/>
  <c r="MB28" i="2"/>
  <c r="LZ29" i="2"/>
  <c r="MA29" i="2"/>
  <c r="GZ27" i="17" s="1"/>
  <c r="MB29" i="2"/>
  <c r="MB12" i="2"/>
  <c r="JK28" i="2" l="1"/>
  <c r="JK26" i="2"/>
  <c r="JK24" i="2"/>
  <c r="JK22" i="2"/>
  <c r="JK20" i="2"/>
  <c r="JK18" i="2"/>
  <c r="JK29" i="2"/>
  <c r="JK27" i="2"/>
  <c r="JK25" i="2"/>
  <c r="JK23" i="2"/>
  <c r="JK21" i="2"/>
  <c r="JK19" i="2"/>
  <c r="JK17" i="2"/>
  <c r="ET12" i="17"/>
  <c r="HV14" i="2"/>
  <c r="KE29" i="2"/>
  <c r="KE27" i="2"/>
  <c r="KE25" i="2"/>
  <c r="KE23" i="2"/>
  <c r="KE21" i="2"/>
  <c r="KE19" i="2"/>
  <c r="KE17" i="2"/>
  <c r="KE15" i="2"/>
  <c r="KE13" i="2"/>
  <c r="KE28" i="2"/>
  <c r="KE26" i="2"/>
  <c r="KE24" i="2"/>
  <c r="KE22" i="2"/>
  <c r="KE20" i="2"/>
  <c r="KE18" i="2"/>
  <c r="KE16" i="2"/>
  <c r="KE14" i="2"/>
  <c r="JK15" i="2"/>
  <c r="JK13" i="2"/>
  <c r="IQ33" i="2"/>
  <c r="IQ29" i="2"/>
  <c r="IQ27" i="2"/>
  <c r="IQ25" i="2"/>
  <c r="IQ23" i="2"/>
  <c r="IQ19" i="2"/>
  <c r="IQ17" i="2"/>
  <c r="IQ15" i="2"/>
  <c r="IQ13" i="2"/>
  <c r="JK12" i="2"/>
  <c r="JK14" i="2"/>
  <c r="IQ32" i="2"/>
  <c r="IQ28" i="2"/>
  <c r="IQ26" i="2"/>
  <c r="IQ24" i="2"/>
  <c r="IQ22" i="2"/>
  <c r="IQ20" i="2"/>
  <c r="IQ18" i="2"/>
  <c r="IQ16" i="2"/>
  <c r="IQ14" i="2"/>
  <c r="ET24" i="17"/>
  <c r="HV26" i="2"/>
  <c r="ET13" i="17"/>
  <c r="HV15" i="2"/>
  <c r="ET26" i="17"/>
  <c r="HV28" i="2"/>
  <c r="GW28" i="2"/>
  <c r="ET20" i="17"/>
  <c r="HV22" i="2"/>
  <c r="ET15" i="17"/>
  <c r="HV17" i="2"/>
  <c r="EX15" i="17" s="1"/>
  <c r="EV25" i="17"/>
  <c r="IP27" i="2"/>
  <c r="EZ25" i="17" s="1"/>
  <c r="ET21" i="17"/>
  <c r="HV23" i="2"/>
  <c r="ET19" i="17"/>
  <c r="HV21" i="2"/>
  <c r="GW22" i="2"/>
  <c r="ET23" i="17"/>
  <c r="HV25" i="2"/>
  <c r="IB25" i="2" s="1"/>
  <c r="ET16" i="17"/>
  <c r="HV18" i="2"/>
  <c r="EV11" i="17"/>
  <c r="IP13" i="2"/>
  <c r="EZ11" i="17" s="1"/>
  <c r="ET14" i="17"/>
  <c r="HV16" i="2"/>
  <c r="IB16" i="2" s="1"/>
  <c r="DI32" i="2"/>
  <c r="DI28" i="2"/>
  <c r="DI26" i="2"/>
  <c r="DI24" i="2"/>
  <c r="DI22" i="2"/>
  <c r="DI20" i="2"/>
  <c r="DI18" i="2"/>
  <c r="DI16" i="2"/>
  <c r="DI33" i="2"/>
  <c r="DI29" i="2"/>
  <c r="DI27" i="2"/>
  <c r="DI25" i="2"/>
  <c r="DI23" i="2"/>
  <c r="DI21" i="2"/>
  <c r="DI19" i="2"/>
  <c r="DI17" i="2"/>
  <c r="DI14" i="2"/>
  <c r="DI12" i="2"/>
  <c r="DI15" i="2"/>
  <c r="DI13" i="2"/>
  <c r="AK33" i="2"/>
  <c r="AK32" i="2"/>
  <c r="AK29" i="2"/>
  <c r="AK28" i="2"/>
  <c r="AK27" i="2"/>
  <c r="AK26" i="2"/>
  <c r="AK25" i="2"/>
  <c r="AK24" i="2"/>
  <c r="AK23" i="2"/>
  <c r="AK22" i="2"/>
  <c r="AK21" i="2"/>
  <c r="AK20" i="2"/>
  <c r="AK19" i="2"/>
  <c r="AK18" i="2"/>
  <c r="AK17" i="2"/>
  <c r="AK12" i="2"/>
  <c r="AK16" i="2"/>
  <c r="AK15" i="2"/>
  <c r="AK14" i="2"/>
  <c r="AK13" i="2"/>
  <c r="FD28" i="17"/>
  <c r="FD35" i="17" s="1"/>
  <c r="IO35" i="17"/>
  <c r="IO36" i="17" s="1"/>
  <c r="AN30" i="2"/>
  <c r="IT30" i="2"/>
  <c r="LB30" i="2"/>
  <c r="HL30" i="2"/>
  <c r="FF30" i="2"/>
  <c r="EZ30" i="2"/>
  <c r="DK30" i="2"/>
  <c r="FR30" i="2"/>
  <c r="EN30" i="2"/>
  <c r="LC30" i="2"/>
  <c r="KX30" i="2"/>
  <c r="KQ30" i="2"/>
  <c r="IU30" i="2"/>
  <c r="HM30" i="2"/>
  <c r="FM30" i="2"/>
  <c r="FA30" i="2"/>
  <c r="EM30" i="2"/>
  <c r="DS30" i="2"/>
  <c r="DW30" i="2"/>
  <c r="AO30" i="2"/>
  <c r="AL30" i="2"/>
  <c r="FS30" i="2"/>
  <c r="DU30" i="2"/>
  <c r="AM30" i="2"/>
  <c r="KR30" i="2"/>
  <c r="DT30" i="2"/>
  <c r="DL30" i="2"/>
  <c r="FG30" i="2"/>
  <c r="EO30" i="2"/>
  <c r="EG30" i="2"/>
  <c r="LD30" i="2"/>
  <c r="DV30" i="2"/>
  <c r="DR30" i="2"/>
  <c r="BY30" i="2"/>
  <c r="MA12" i="2"/>
  <c r="GZ10" i="17" s="1"/>
  <c r="GZ28" i="17" s="1"/>
  <c r="GZ35" i="17" s="1"/>
  <c r="LZ12" i="2"/>
  <c r="MH13" i="2"/>
  <c r="MI13" i="2"/>
  <c r="MH14" i="2"/>
  <c r="MI14" i="2"/>
  <c r="MH15" i="2"/>
  <c r="MI15" i="2"/>
  <c r="MH16" i="2"/>
  <c r="MH17" i="2"/>
  <c r="MI17" i="2"/>
  <c r="MH18" i="2"/>
  <c r="MH19" i="2"/>
  <c r="MI19" i="2"/>
  <c r="MH20" i="2"/>
  <c r="MH21" i="2"/>
  <c r="MI21" i="2"/>
  <c r="MH22" i="2"/>
  <c r="MI22" i="2"/>
  <c r="MH23" i="2"/>
  <c r="MI23" i="2"/>
  <c r="MH24" i="2"/>
  <c r="MI24" i="2"/>
  <c r="MH25" i="2"/>
  <c r="MI25" i="2"/>
  <c r="MH26" i="2"/>
  <c r="MI26" i="2"/>
  <c r="MH27" i="2"/>
  <c r="MI27" i="2"/>
  <c r="MH28" i="2"/>
  <c r="MI28" i="2"/>
  <c r="MH29" i="2"/>
  <c r="MI29" i="2"/>
  <c r="MH12" i="2"/>
  <c r="NB13" i="2"/>
  <c r="NC13" i="2"/>
  <c r="NB14" i="2"/>
  <c r="NC14" i="2"/>
  <c r="NB15" i="2"/>
  <c r="NC15" i="2"/>
  <c r="NB16" i="2"/>
  <c r="NC16" i="2"/>
  <c r="NB17" i="2"/>
  <c r="NC17" i="2"/>
  <c r="NB18" i="2"/>
  <c r="NC18" i="2"/>
  <c r="NB19" i="2"/>
  <c r="NC19" i="2"/>
  <c r="NA20" i="2"/>
  <c r="NB21" i="2"/>
  <c r="NC21" i="2"/>
  <c r="NB22" i="2"/>
  <c r="NC22" i="2"/>
  <c r="NB23" i="2"/>
  <c r="NC23" i="2"/>
  <c r="NB24" i="2"/>
  <c r="NC24" i="2"/>
  <c r="NB25" i="2"/>
  <c r="NC25" i="2"/>
  <c r="NB26" i="2"/>
  <c r="NC26" i="2"/>
  <c r="NB27" i="2"/>
  <c r="NC27" i="2"/>
  <c r="NB28" i="2"/>
  <c r="NC28" i="2"/>
  <c r="NB29" i="2"/>
  <c r="NC29" i="2"/>
  <c r="NC12" i="2"/>
  <c r="NB12" i="2"/>
  <c r="NM33" i="2"/>
  <c r="NM32" i="2"/>
  <c r="NL32" i="2"/>
  <c r="NL13" i="2"/>
  <c r="NM13" i="2"/>
  <c r="NL14" i="2"/>
  <c r="NM14" i="2"/>
  <c r="NL15" i="2"/>
  <c r="NM15" i="2"/>
  <c r="NL16" i="2"/>
  <c r="NM16" i="2"/>
  <c r="NL17" i="2"/>
  <c r="NM17" i="2"/>
  <c r="NL18" i="2"/>
  <c r="NM18" i="2"/>
  <c r="NL19" i="2"/>
  <c r="NM19" i="2"/>
  <c r="NL20" i="2"/>
  <c r="NM20" i="2"/>
  <c r="NL21" i="2"/>
  <c r="NM21" i="2"/>
  <c r="NL22" i="2"/>
  <c r="NM22" i="2"/>
  <c r="NL23" i="2"/>
  <c r="NM23" i="2"/>
  <c r="NL24" i="2"/>
  <c r="NM24" i="2"/>
  <c r="NL25" i="2"/>
  <c r="NM25" i="2"/>
  <c r="NL26" i="2"/>
  <c r="NM26" i="2"/>
  <c r="NL27" i="2"/>
  <c r="NM27" i="2"/>
  <c r="NL28" i="2"/>
  <c r="NM28" i="2"/>
  <c r="NL29" i="2"/>
  <c r="NM29" i="2"/>
  <c r="NM12" i="2"/>
  <c r="NL12" i="2"/>
  <c r="MR20" i="2" l="1"/>
  <c r="IB14" i="2"/>
  <c r="EX12" i="17"/>
  <c r="IQ34" i="2"/>
  <c r="NA18" i="2"/>
  <c r="NA16" i="2"/>
  <c r="NA14" i="2"/>
  <c r="NA28" i="2"/>
  <c r="NA26" i="2"/>
  <c r="NA24" i="2"/>
  <c r="NA22" i="2"/>
  <c r="NA12" i="2"/>
  <c r="NA29" i="2"/>
  <c r="NA27" i="2"/>
  <c r="NA25" i="2"/>
  <c r="NA23" i="2"/>
  <c r="NA21" i="2"/>
  <c r="NA19" i="2"/>
  <c r="NA17" i="2"/>
  <c r="NA15" i="2"/>
  <c r="NA13" i="2"/>
  <c r="MG29" i="2"/>
  <c r="MG27" i="2"/>
  <c r="MG25" i="2"/>
  <c r="MG23" i="2"/>
  <c r="MG21" i="2"/>
  <c r="MG19" i="2"/>
  <c r="MG14" i="2"/>
  <c r="MG28" i="2"/>
  <c r="MG26" i="2"/>
  <c r="MG24" i="2"/>
  <c r="MG22" i="2"/>
  <c r="MG17" i="2"/>
  <c r="MG15" i="2"/>
  <c r="MG13" i="2"/>
  <c r="IB26" i="2"/>
  <c r="EX24" i="17"/>
  <c r="EX19" i="17"/>
  <c r="IB21" i="2"/>
  <c r="EX20" i="17"/>
  <c r="IB22" i="2"/>
  <c r="EX16" i="17"/>
  <c r="IB18" i="2"/>
  <c r="EX21" i="17"/>
  <c r="IB23" i="2"/>
  <c r="IB28" i="2"/>
  <c r="EX26" i="17"/>
  <c r="IB15" i="2"/>
  <c r="EX13" i="17"/>
  <c r="EX23" i="17"/>
  <c r="EX14" i="17"/>
  <c r="AK34" i="2"/>
  <c r="AK30" i="2"/>
  <c r="NS33" i="2"/>
  <c r="NR33" i="2"/>
  <c r="NS32" i="2"/>
  <c r="NR32" i="2"/>
  <c r="NR13" i="2"/>
  <c r="NS13" i="2"/>
  <c r="NR14" i="2"/>
  <c r="NS14" i="2"/>
  <c r="NR15" i="2"/>
  <c r="NS15" i="2"/>
  <c r="NR16" i="2"/>
  <c r="NS16" i="2"/>
  <c r="NR17" i="2"/>
  <c r="NS17" i="2"/>
  <c r="NR18" i="2"/>
  <c r="NS18" i="2"/>
  <c r="NR19" i="2"/>
  <c r="NS19" i="2"/>
  <c r="NR20" i="2"/>
  <c r="NS20" i="2"/>
  <c r="NR21" i="2"/>
  <c r="NS21" i="2"/>
  <c r="NR22" i="2"/>
  <c r="NS22" i="2"/>
  <c r="NR23" i="2"/>
  <c r="NS23" i="2"/>
  <c r="NR24" i="2"/>
  <c r="NS24" i="2"/>
  <c r="NR25" i="2"/>
  <c r="NS25" i="2"/>
  <c r="NR26" i="2"/>
  <c r="NS26" i="2"/>
  <c r="NR27" i="2"/>
  <c r="NS27" i="2"/>
  <c r="NR28" i="2"/>
  <c r="NS28" i="2"/>
  <c r="NR29" i="2"/>
  <c r="NS29" i="2"/>
  <c r="NS12" i="2"/>
  <c r="NR12" i="2"/>
  <c r="OF13" i="2"/>
  <c r="OG13" i="2"/>
  <c r="OH13" i="2"/>
  <c r="OI13" i="2"/>
  <c r="OJ13" i="2"/>
  <c r="OK13" i="2"/>
  <c r="BJ12" i="6" s="1"/>
  <c r="IK11" i="17" s="1"/>
  <c r="OF14" i="2"/>
  <c r="OG14" i="2"/>
  <c r="OH14" i="2"/>
  <c r="OI14" i="2"/>
  <c r="OJ14" i="2"/>
  <c r="OK14" i="2"/>
  <c r="BJ13" i="6" s="1"/>
  <c r="IK12" i="17" s="1"/>
  <c r="OF15" i="2"/>
  <c r="OG15" i="2"/>
  <c r="OH15" i="2"/>
  <c r="OI15" i="2"/>
  <c r="OJ15" i="2"/>
  <c r="OK15" i="2"/>
  <c r="BJ14" i="6" s="1"/>
  <c r="IK13" i="17" s="1"/>
  <c r="OG16" i="2"/>
  <c r="OH16" i="2"/>
  <c r="OI16" i="2"/>
  <c r="OJ16" i="2"/>
  <c r="OK16" i="2"/>
  <c r="OF17" i="2"/>
  <c r="OG17" i="2"/>
  <c r="OH17" i="2"/>
  <c r="OI17" i="2"/>
  <c r="OJ17" i="2"/>
  <c r="OK17" i="2"/>
  <c r="BJ16" i="6" s="1"/>
  <c r="IK15" i="17" s="1"/>
  <c r="OF18" i="2"/>
  <c r="OG18" i="2"/>
  <c r="OH18" i="2"/>
  <c r="OI18" i="2"/>
  <c r="OJ18" i="2"/>
  <c r="OK18" i="2"/>
  <c r="BJ17" i="6" s="1"/>
  <c r="IK16" i="17" s="1"/>
  <c r="OF19" i="2"/>
  <c r="OG19" i="2"/>
  <c r="OH19" i="2"/>
  <c r="OI19" i="2"/>
  <c r="OJ19" i="2"/>
  <c r="OK19" i="2"/>
  <c r="BJ18" i="6" s="1"/>
  <c r="IK17" i="17" s="1"/>
  <c r="OF20" i="2"/>
  <c r="OG20" i="2"/>
  <c r="OH20" i="2"/>
  <c r="OI20" i="2"/>
  <c r="OJ20" i="2"/>
  <c r="OK20" i="2"/>
  <c r="BJ19" i="6" s="1"/>
  <c r="IK18" i="17" s="1"/>
  <c r="OF21" i="2"/>
  <c r="OG21" i="2"/>
  <c r="OH21" i="2"/>
  <c r="OI21" i="2"/>
  <c r="OJ21" i="2"/>
  <c r="OK21" i="2"/>
  <c r="BJ20" i="6" s="1"/>
  <c r="IK19" i="17" s="1"/>
  <c r="OF22" i="2"/>
  <c r="OG22" i="2"/>
  <c r="OH22" i="2"/>
  <c r="OI22" i="2"/>
  <c r="OJ22" i="2"/>
  <c r="OK22" i="2"/>
  <c r="BJ21" i="6" s="1"/>
  <c r="IK20" i="17" s="1"/>
  <c r="OF23" i="2"/>
  <c r="OG23" i="2"/>
  <c r="OH23" i="2"/>
  <c r="OI23" i="2"/>
  <c r="OJ23" i="2"/>
  <c r="OK23" i="2"/>
  <c r="BJ22" i="6" s="1"/>
  <c r="IK21" i="17" s="1"/>
  <c r="OF24" i="2"/>
  <c r="OG24" i="2"/>
  <c r="OH24" i="2"/>
  <c r="OI24" i="2"/>
  <c r="OJ24" i="2"/>
  <c r="OK24" i="2"/>
  <c r="BJ23" i="6" s="1"/>
  <c r="IK22" i="17" s="1"/>
  <c r="OF25" i="2"/>
  <c r="OG25" i="2"/>
  <c r="OH25" i="2"/>
  <c r="OI25" i="2"/>
  <c r="OJ25" i="2"/>
  <c r="OK25" i="2"/>
  <c r="BJ24" i="6" s="1"/>
  <c r="IK23" i="17" s="1"/>
  <c r="OF26" i="2"/>
  <c r="OG26" i="2"/>
  <c r="OH26" i="2"/>
  <c r="OI26" i="2"/>
  <c r="OJ26" i="2"/>
  <c r="OK26" i="2"/>
  <c r="BJ25" i="6" s="1"/>
  <c r="IK24" i="17" s="1"/>
  <c r="OF27" i="2"/>
  <c r="OG27" i="2"/>
  <c r="OH27" i="2"/>
  <c r="OI27" i="2"/>
  <c r="OJ27" i="2"/>
  <c r="OK27" i="2"/>
  <c r="BJ26" i="6" s="1"/>
  <c r="IK25" i="17" s="1"/>
  <c r="OF28" i="2"/>
  <c r="OG28" i="2"/>
  <c r="OH28" i="2"/>
  <c r="OI28" i="2"/>
  <c r="OJ28" i="2"/>
  <c r="OK28" i="2"/>
  <c r="BJ27" i="6" s="1"/>
  <c r="IK26" i="17" s="1"/>
  <c r="OF29" i="2"/>
  <c r="OG29" i="2"/>
  <c r="OH29" i="2"/>
  <c r="OI29" i="2"/>
  <c r="OJ29" i="2"/>
  <c r="OK29" i="2"/>
  <c r="BJ28" i="6" s="1"/>
  <c r="IK27" i="17" s="1"/>
  <c r="OK12" i="2"/>
  <c r="BJ11" i="6" s="1"/>
  <c r="IK10" i="17" s="1"/>
  <c r="OJ12" i="2"/>
  <c r="OI12" i="2"/>
  <c r="OH12" i="2"/>
  <c r="OG12" i="2"/>
  <c r="OF12" i="2"/>
  <c r="PH13" i="2"/>
  <c r="PI13" i="2"/>
  <c r="PJ13" i="2"/>
  <c r="PK13" i="2"/>
  <c r="PL13" i="2"/>
  <c r="PM13" i="2"/>
  <c r="PH14" i="2"/>
  <c r="PI14" i="2"/>
  <c r="PJ14" i="2"/>
  <c r="PK14" i="2"/>
  <c r="PL14" i="2"/>
  <c r="PM14" i="2"/>
  <c r="PH15" i="2"/>
  <c r="PI15" i="2"/>
  <c r="PJ15" i="2"/>
  <c r="PK15" i="2"/>
  <c r="PL15" i="2"/>
  <c r="PM15" i="2"/>
  <c r="PH16" i="2"/>
  <c r="PI16" i="2"/>
  <c r="PJ16" i="2"/>
  <c r="PK16" i="2"/>
  <c r="PL16" i="2"/>
  <c r="PM16" i="2"/>
  <c r="PH17" i="2"/>
  <c r="PI17" i="2"/>
  <c r="PJ17" i="2"/>
  <c r="PK17" i="2"/>
  <c r="PL17" i="2"/>
  <c r="PM17" i="2"/>
  <c r="PH18" i="2"/>
  <c r="PI18" i="2"/>
  <c r="PJ18" i="2"/>
  <c r="PK18" i="2"/>
  <c r="PL18" i="2"/>
  <c r="PM18" i="2"/>
  <c r="PH19" i="2"/>
  <c r="PI19" i="2"/>
  <c r="PJ19" i="2"/>
  <c r="PK19" i="2"/>
  <c r="PL19" i="2"/>
  <c r="PM19" i="2"/>
  <c r="PH20" i="2"/>
  <c r="PI20" i="2"/>
  <c r="PJ20" i="2"/>
  <c r="PK20" i="2"/>
  <c r="PL20" i="2"/>
  <c r="PM20" i="2"/>
  <c r="PH21" i="2"/>
  <c r="PI21" i="2"/>
  <c r="PJ21" i="2"/>
  <c r="PK21" i="2"/>
  <c r="PL21" i="2"/>
  <c r="PM21" i="2"/>
  <c r="PH22" i="2"/>
  <c r="PI22" i="2"/>
  <c r="PJ22" i="2"/>
  <c r="PK22" i="2"/>
  <c r="PL22" i="2"/>
  <c r="PM22" i="2"/>
  <c r="PH23" i="2"/>
  <c r="PI23" i="2"/>
  <c r="PJ23" i="2"/>
  <c r="PK23" i="2"/>
  <c r="PL23" i="2"/>
  <c r="PM23" i="2"/>
  <c r="PH24" i="2"/>
  <c r="PI24" i="2"/>
  <c r="PJ24" i="2"/>
  <c r="PK24" i="2"/>
  <c r="PL24" i="2"/>
  <c r="PM24" i="2"/>
  <c r="PH25" i="2"/>
  <c r="PI25" i="2"/>
  <c r="PJ25" i="2"/>
  <c r="PK25" i="2"/>
  <c r="PL25" i="2"/>
  <c r="PM25" i="2"/>
  <c r="PH26" i="2"/>
  <c r="PI26" i="2"/>
  <c r="PJ26" i="2"/>
  <c r="PK26" i="2"/>
  <c r="PL26" i="2"/>
  <c r="PM26" i="2"/>
  <c r="PH27" i="2"/>
  <c r="PI27" i="2"/>
  <c r="PJ27" i="2"/>
  <c r="PK27" i="2"/>
  <c r="PL27" i="2"/>
  <c r="PM27" i="2"/>
  <c r="PH28" i="2"/>
  <c r="PI28" i="2"/>
  <c r="PJ28" i="2"/>
  <c r="PK28" i="2"/>
  <c r="PL28" i="2"/>
  <c r="PM28" i="2"/>
  <c r="PH29" i="2"/>
  <c r="PI29" i="2"/>
  <c r="PJ29" i="2"/>
  <c r="PK29" i="2"/>
  <c r="PL29" i="2"/>
  <c r="PM29" i="2"/>
  <c r="PM12" i="2"/>
  <c r="PL12" i="2"/>
  <c r="PK12" i="2"/>
  <c r="PJ12" i="2"/>
  <c r="PI12" i="2"/>
  <c r="PH12" i="2"/>
  <c r="US33" i="2"/>
  <c r="US32" i="2"/>
  <c r="SH33" i="2"/>
  <c r="SG33" i="2"/>
  <c r="SF33" i="2"/>
  <c r="RU33" i="2"/>
  <c r="RS33" i="2"/>
  <c r="RQ33" i="2"/>
  <c r="RO33" i="2"/>
  <c r="RM33" i="2"/>
  <c r="RK33" i="2"/>
  <c r="RI33" i="2"/>
  <c r="SH32" i="2"/>
  <c r="SG32" i="2"/>
  <c r="SF32" i="2"/>
  <c r="RU32" i="2"/>
  <c r="RS32" i="2"/>
  <c r="RQ32" i="2"/>
  <c r="RO32" i="2"/>
  <c r="RM32" i="2"/>
  <c r="RK32" i="2"/>
  <c r="RI32" i="2"/>
  <c r="SH29" i="2"/>
  <c r="SG29" i="2"/>
  <c r="SF29" i="2"/>
  <c r="RU29" i="2"/>
  <c r="RS29" i="2"/>
  <c r="RQ29" i="2"/>
  <c r="RO29" i="2"/>
  <c r="RM29" i="2"/>
  <c r="RK29" i="2"/>
  <c r="RI29" i="2"/>
  <c r="SH28" i="2"/>
  <c r="SG28" i="2"/>
  <c r="SF28" i="2"/>
  <c r="RU28" i="2"/>
  <c r="RS28" i="2"/>
  <c r="RQ28" i="2"/>
  <c r="RO28" i="2"/>
  <c r="RM28" i="2"/>
  <c r="RK28" i="2"/>
  <c r="RI28" i="2"/>
  <c r="SH27" i="2"/>
  <c r="SG27" i="2"/>
  <c r="SF27" i="2"/>
  <c r="RU27" i="2"/>
  <c r="RS27" i="2"/>
  <c r="RQ27" i="2"/>
  <c r="RO27" i="2"/>
  <c r="RM27" i="2"/>
  <c r="RK27" i="2"/>
  <c r="RI27" i="2"/>
  <c r="SH26" i="2"/>
  <c r="SG26" i="2"/>
  <c r="SF26" i="2"/>
  <c r="RU26" i="2"/>
  <c r="RS26" i="2"/>
  <c r="RQ26" i="2"/>
  <c r="RO26" i="2"/>
  <c r="RM26" i="2"/>
  <c r="RK26" i="2"/>
  <c r="RI26" i="2"/>
  <c r="SH25" i="2"/>
  <c r="SG25" i="2"/>
  <c r="SF25" i="2"/>
  <c r="RU25" i="2"/>
  <c r="RS25" i="2"/>
  <c r="RQ25" i="2"/>
  <c r="RO25" i="2"/>
  <c r="RM25" i="2"/>
  <c r="RK25" i="2"/>
  <c r="RI25" i="2"/>
  <c r="SH24" i="2"/>
  <c r="SG24" i="2"/>
  <c r="SF24" i="2"/>
  <c r="RU24" i="2"/>
  <c r="RS24" i="2"/>
  <c r="RQ24" i="2"/>
  <c r="RO24" i="2"/>
  <c r="RM24" i="2"/>
  <c r="RK24" i="2"/>
  <c r="RI24" i="2"/>
  <c r="SH23" i="2"/>
  <c r="SG23" i="2"/>
  <c r="SF23" i="2"/>
  <c r="RU23" i="2"/>
  <c r="RS23" i="2"/>
  <c r="RQ23" i="2"/>
  <c r="RO23" i="2"/>
  <c r="RM23" i="2"/>
  <c r="RK23" i="2"/>
  <c r="RI23" i="2"/>
  <c r="SH22" i="2"/>
  <c r="SG22" i="2"/>
  <c r="SF22" i="2"/>
  <c r="RU22" i="2"/>
  <c r="RS22" i="2"/>
  <c r="RQ22" i="2"/>
  <c r="RO22" i="2"/>
  <c r="RM22" i="2"/>
  <c r="RK22" i="2"/>
  <c r="RI22" i="2"/>
  <c r="SH21" i="2"/>
  <c r="SG21" i="2"/>
  <c r="SF21" i="2"/>
  <c r="RU21" i="2"/>
  <c r="RS21" i="2"/>
  <c r="RQ21" i="2"/>
  <c r="RO21" i="2"/>
  <c r="RM21" i="2"/>
  <c r="RK21" i="2"/>
  <c r="RI21" i="2"/>
  <c r="SH20" i="2"/>
  <c r="SG20" i="2"/>
  <c r="SF20" i="2"/>
  <c r="RU20" i="2"/>
  <c r="RS20" i="2"/>
  <c r="RQ20" i="2"/>
  <c r="RO20" i="2"/>
  <c r="RM20" i="2"/>
  <c r="RK20" i="2"/>
  <c r="RI20" i="2"/>
  <c r="SH19" i="2"/>
  <c r="SG19" i="2"/>
  <c r="SF19" i="2"/>
  <c r="RU19" i="2"/>
  <c r="RS19" i="2"/>
  <c r="RQ19" i="2"/>
  <c r="RO19" i="2"/>
  <c r="RM19" i="2"/>
  <c r="RK19" i="2"/>
  <c r="RI19" i="2"/>
  <c r="SH18" i="2"/>
  <c r="SG18" i="2"/>
  <c r="SF18" i="2"/>
  <c r="RU18" i="2"/>
  <c r="RS18" i="2"/>
  <c r="RQ18" i="2"/>
  <c r="RO18" i="2"/>
  <c r="RM18" i="2"/>
  <c r="RK18" i="2"/>
  <c r="RI18" i="2"/>
  <c r="SH17" i="2"/>
  <c r="SG17" i="2"/>
  <c r="SF17" i="2"/>
  <c r="RU17" i="2"/>
  <c r="RS17" i="2"/>
  <c r="RQ17" i="2"/>
  <c r="RO17" i="2"/>
  <c r="RM17" i="2"/>
  <c r="RK17" i="2"/>
  <c r="RI17" i="2"/>
  <c r="SH16" i="2"/>
  <c r="SG16" i="2"/>
  <c r="SF16" i="2"/>
  <c r="RU16" i="2"/>
  <c r="RS16" i="2"/>
  <c r="RQ16" i="2"/>
  <c r="RO16" i="2"/>
  <c r="RM16" i="2"/>
  <c r="RK16" i="2"/>
  <c r="RI16" i="2"/>
  <c r="SH15" i="2"/>
  <c r="SG15" i="2"/>
  <c r="SF15" i="2"/>
  <c r="RU15" i="2"/>
  <c r="RS15" i="2"/>
  <c r="RQ15" i="2"/>
  <c r="RO15" i="2"/>
  <c r="RM15" i="2"/>
  <c r="RK15" i="2"/>
  <c r="RI15" i="2"/>
  <c r="SH14" i="2"/>
  <c r="SG14" i="2"/>
  <c r="SF14" i="2"/>
  <c r="RU14" i="2"/>
  <c r="RS14" i="2"/>
  <c r="RQ14" i="2"/>
  <c r="RO14" i="2"/>
  <c r="RM14" i="2"/>
  <c r="RK14" i="2"/>
  <c r="RI14" i="2"/>
  <c r="SH13" i="2"/>
  <c r="SG13" i="2"/>
  <c r="SF13" i="2"/>
  <c r="RU13" i="2"/>
  <c r="RS13" i="2"/>
  <c r="RQ13" i="2"/>
  <c r="RO13" i="2"/>
  <c r="RM13" i="2"/>
  <c r="RK13" i="2"/>
  <c r="RI13" i="2"/>
  <c r="SG12" i="2"/>
  <c r="SF12" i="2"/>
  <c r="RU12" i="2"/>
  <c r="RS12" i="2"/>
  <c r="RQ12" i="2"/>
  <c r="RO12" i="2"/>
  <c r="RM12" i="2"/>
  <c r="RK12" i="2"/>
  <c r="RI12" i="2"/>
  <c r="SZ32" i="2"/>
  <c r="SZ13" i="2"/>
  <c r="SZ14" i="2"/>
  <c r="SZ15" i="2"/>
  <c r="SZ16" i="2"/>
  <c r="SZ17" i="2"/>
  <c r="SZ18" i="2"/>
  <c r="SZ19" i="2"/>
  <c r="SZ20" i="2"/>
  <c r="SZ21" i="2"/>
  <c r="SZ22" i="2"/>
  <c r="SZ23" i="2"/>
  <c r="SZ24" i="2"/>
  <c r="SZ25" i="2"/>
  <c r="SZ26" i="2"/>
  <c r="SZ27" i="2"/>
  <c r="SZ28" i="2"/>
  <c r="SZ29" i="2"/>
  <c r="SZ12" i="2"/>
  <c r="TD13" i="2"/>
  <c r="TD14" i="2"/>
  <c r="TD15" i="2"/>
  <c r="TD16" i="2"/>
  <c r="TD17" i="2"/>
  <c r="TD18" i="2"/>
  <c r="TD19" i="2"/>
  <c r="TD20" i="2"/>
  <c r="TD21" i="2"/>
  <c r="TD22" i="2"/>
  <c r="TD23" i="2"/>
  <c r="TD24" i="2"/>
  <c r="TD25" i="2"/>
  <c r="TD26" i="2"/>
  <c r="TD27" i="2"/>
  <c r="TD28" i="2"/>
  <c r="TD29" i="2"/>
  <c r="TD12" i="2"/>
  <c r="UC33" i="2"/>
  <c r="UB33" i="2"/>
  <c r="UC32" i="2"/>
  <c r="UB32" i="2"/>
  <c r="UB13" i="2"/>
  <c r="UC13" i="2"/>
  <c r="UB14" i="2"/>
  <c r="UC14" i="2"/>
  <c r="UB15" i="2"/>
  <c r="UC15" i="2"/>
  <c r="UB16" i="2"/>
  <c r="UC16" i="2"/>
  <c r="UB17" i="2"/>
  <c r="UC17" i="2"/>
  <c r="UB18" i="2"/>
  <c r="UC18" i="2"/>
  <c r="UB19" i="2"/>
  <c r="UC19" i="2"/>
  <c r="UB20" i="2"/>
  <c r="UC20" i="2"/>
  <c r="UB21" i="2"/>
  <c r="UC21" i="2"/>
  <c r="UB22" i="2"/>
  <c r="UC22" i="2"/>
  <c r="UB23" i="2"/>
  <c r="UC23" i="2"/>
  <c r="UB24" i="2"/>
  <c r="UC24" i="2"/>
  <c r="UB25" i="2"/>
  <c r="UC25" i="2"/>
  <c r="UB26" i="2"/>
  <c r="UC26" i="2"/>
  <c r="UB27" i="2"/>
  <c r="UC27" i="2"/>
  <c r="UB28" i="2"/>
  <c r="UC28" i="2"/>
  <c r="UB29" i="2"/>
  <c r="UC29" i="2"/>
  <c r="UC12" i="2"/>
  <c r="UB12" i="2"/>
  <c r="UI33" i="2"/>
  <c r="UH33" i="2"/>
  <c r="UI32" i="2"/>
  <c r="UH32" i="2"/>
  <c r="UH13" i="2"/>
  <c r="UI13" i="2"/>
  <c r="UH14" i="2"/>
  <c r="UI14" i="2"/>
  <c r="UH15" i="2"/>
  <c r="UI15" i="2"/>
  <c r="UM15" i="2" s="1"/>
  <c r="UK15" i="2" s="1"/>
  <c r="UH16" i="2"/>
  <c r="UI16" i="2"/>
  <c r="UH17" i="2"/>
  <c r="UI17" i="2"/>
  <c r="UH18" i="2"/>
  <c r="UI18" i="2"/>
  <c r="UH19" i="2"/>
  <c r="UI19" i="2"/>
  <c r="UH20" i="2"/>
  <c r="UI20" i="2"/>
  <c r="UH21" i="2"/>
  <c r="UI21" i="2"/>
  <c r="UH22" i="2"/>
  <c r="UI22" i="2"/>
  <c r="UH23" i="2"/>
  <c r="UI23" i="2"/>
  <c r="UH24" i="2"/>
  <c r="UI24" i="2"/>
  <c r="UH25" i="2"/>
  <c r="UI25" i="2"/>
  <c r="UH26" i="2"/>
  <c r="UI26" i="2"/>
  <c r="UH27" i="2"/>
  <c r="UI27" i="2"/>
  <c r="UH28" i="2"/>
  <c r="UI28" i="2"/>
  <c r="UH29" i="2"/>
  <c r="UI29" i="2"/>
  <c r="UH12" i="2"/>
  <c r="UI12" i="2"/>
  <c r="VP13" i="2"/>
  <c r="VO13" i="2" s="1"/>
  <c r="VP14" i="2"/>
  <c r="VO14" i="2" s="1"/>
  <c r="VP15" i="2"/>
  <c r="VO15" i="2" s="1"/>
  <c r="VP16" i="2"/>
  <c r="VO16" i="2" s="1"/>
  <c r="VP17" i="2"/>
  <c r="VO17" i="2" s="1"/>
  <c r="VP18" i="2"/>
  <c r="VO18" i="2" s="1"/>
  <c r="VP19" i="2"/>
  <c r="VO19" i="2" s="1"/>
  <c r="VP20" i="2"/>
  <c r="VO20" i="2" s="1"/>
  <c r="VP21" i="2"/>
  <c r="VO21" i="2" s="1"/>
  <c r="VP22" i="2"/>
  <c r="VO22" i="2" s="1"/>
  <c r="VP23" i="2"/>
  <c r="VO23" i="2" s="1"/>
  <c r="VP24" i="2"/>
  <c r="VO24" i="2" s="1"/>
  <c r="VP25" i="2"/>
  <c r="VO25" i="2" s="1"/>
  <c r="VP26" i="2"/>
  <c r="VO26" i="2" s="1"/>
  <c r="VP27" i="2"/>
  <c r="VO27" i="2" s="1"/>
  <c r="VP28" i="2"/>
  <c r="VO28" i="2" s="1"/>
  <c r="VP29" i="2"/>
  <c r="VO29" i="2" s="1"/>
  <c r="VP12" i="2"/>
  <c r="VO12" i="2" s="1"/>
  <c r="VD13" i="2"/>
  <c r="VD14" i="2"/>
  <c r="VD15" i="2"/>
  <c r="VD16" i="2"/>
  <c r="VD17" i="2"/>
  <c r="VD18" i="2"/>
  <c r="VD19" i="2"/>
  <c r="VD20" i="2"/>
  <c r="VD21" i="2"/>
  <c r="VD22" i="2"/>
  <c r="VD23" i="2"/>
  <c r="VD24" i="2"/>
  <c r="VD25" i="2"/>
  <c r="VD26" i="2"/>
  <c r="VD27" i="2"/>
  <c r="VD28" i="2"/>
  <c r="VD29" i="2"/>
  <c r="VD12" i="2"/>
  <c r="V33" i="2"/>
  <c r="V32" i="2"/>
  <c r="V13" i="2"/>
  <c r="V14" i="2"/>
  <c r="V15" i="2"/>
  <c r="V16" i="2"/>
  <c r="V17" i="2"/>
  <c r="V18" i="2"/>
  <c r="V19" i="2"/>
  <c r="V20" i="2"/>
  <c r="V21" i="2"/>
  <c r="V22" i="2"/>
  <c r="V23" i="2"/>
  <c r="V24" i="2"/>
  <c r="V25" i="2"/>
  <c r="V26" i="2"/>
  <c r="V27" i="2"/>
  <c r="V28" i="2"/>
  <c r="V29" i="2"/>
  <c r="V12" i="2"/>
  <c r="AA13" i="2"/>
  <c r="AA17" i="2"/>
  <c r="AA25" i="2"/>
  <c r="AG13" i="2"/>
  <c r="AG14" i="2"/>
  <c r="AG15" i="2"/>
  <c r="AG16" i="2"/>
  <c r="AG17" i="2"/>
  <c r="AG18" i="2"/>
  <c r="AG19" i="2"/>
  <c r="AG20" i="2"/>
  <c r="AG21" i="2"/>
  <c r="AG22" i="2"/>
  <c r="AG23" i="2"/>
  <c r="AG24" i="2"/>
  <c r="AG25" i="2"/>
  <c r="AG26" i="2"/>
  <c r="AG27" i="2"/>
  <c r="AG28" i="2"/>
  <c r="AG29" i="2"/>
  <c r="AG12" i="2"/>
  <c r="AP29" i="3"/>
  <c r="AN29" i="3"/>
  <c r="AD29" i="3"/>
  <c r="AB29" i="3"/>
  <c r="X29" i="3"/>
  <c r="V29" i="3"/>
  <c r="T29" i="3"/>
  <c r="P29" i="3"/>
  <c r="N29" i="3"/>
  <c r="L29" i="3"/>
  <c r="J29" i="3"/>
  <c r="H29" i="3"/>
  <c r="F29" i="3"/>
  <c r="D29" i="3"/>
  <c r="AP28" i="3"/>
  <c r="AN28" i="3"/>
  <c r="AH28" i="3"/>
  <c r="AD28" i="3"/>
  <c r="AB28" i="3"/>
  <c r="Z28" i="3"/>
  <c r="X28" i="3"/>
  <c r="V28" i="3"/>
  <c r="T28" i="3"/>
  <c r="P28" i="3"/>
  <c r="N28" i="3"/>
  <c r="L28" i="3"/>
  <c r="J28" i="3"/>
  <c r="H28" i="3"/>
  <c r="F28" i="3"/>
  <c r="D28" i="3"/>
  <c r="N9" i="3"/>
  <c r="N10" i="3"/>
  <c r="N11" i="3"/>
  <c r="N12" i="3"/>
  <c r="N13" i="3"/>
  <c r="N14" i="3"/>
  <c r="N15" i="3"/>
  <c r="N16" i="3"/>
  <c r="N17" i="3"/>
  <c r="N18" i="3"/>
  <c r="N19" i="3"/>
  <c r="N20" i="3"/>
  <c r="N21" i="3"/>
  <c r="N22" i="3"/>
  <c r="N23" i="3"/>
  <c r="N24" i="3"/>
  <c r="N25" i="3"/>
  <c r="N8" i="3"/>
  <c r="D9" i="3"/>
  <c r="F9" i="3"/>
  <c r="H9" i="3"/>
  <c r="J9" i="3"/>
  <c r="L9" i="3"/>
  <c r="P9" i="3"/>
  <c r="T9" i="3"/>
  <c r="V9" i="3"/>
  <c r="X9" i="3"/>
  <c r="Z9" i="3"/>
  <c r="AB9" i="3"/>
  <c r="AD9" i="3"/>
  <c r="AN9" i="3"/>
  <c r="AP9" i="3"/>
  <c r="D10" i="3"/>
  <c r="F10" i="3"/>
  <c r="H10" i="3"/>
  <c r="J10" i="3"/>
  <c r="L10" i="3"/>
  <c r="P10" i="3"/>
  <c r="T10" i="3"/>
  <c r="V10" i="3"/>
  <c r="X10" i="3"/>
  <c r="Z10" i="3"/>
  <c r="AB10" i="3"/>
  <c r="AD10" i="3"/>
  <c r="AH10" i="3"/>
  <c r="AP10" i="3"/>
  <c r="D11" i="3"/>
  <c r="F11" i="3"/>
  <c r="H11" i="3"/>
  <c r="J11" i="3"/>
  <c r="L11" i="3"/>
  <c r="P11" i="3"/>
  <c r="T11" i="3"/>
  <c r="V11" i="3"/>
  <c r="X11" i="3"/>
  <c r="Z11" i="3"/>
  <c r="AB11" i="3"/>
  <c r="AD11" i="3"/>
  <c r="AH11" i="3"/>
  <c r="AN11" i="3"/>
  <c r="AP11" i="3"/>
  <c r="D12" i="3"/>
  <c r="F12" i="3"/>
  <c r="H12" i="3"/>
  <c r="J12" i="3"/>
  <c r="L12" i="3"/>
  <c r="P12" i="3"/>
  <c r="T12" i="3"/>
  <c r="V12" i="3"/>
  <c r="X12" i="3"/>
  <c r="Z12" i="3"/>
  <c r="AB12" i="3"/>
  <c r="AD12" i="3"/>
  <c r="AH12" i="3"/>
  <c r="AN12" i="3"/>
  <c r="AP12" i="3"/>
  <c r="D13" i="3"/>
  <c r="F13" i="3"/>
  <c r="H13" i="3"/>
  <c r="J13" i="3"/>
  <c r="L13" i="3"/>
  <c r="P13" i="3"/>
  <c r="T13" i="3"/>
  <c r="V13" i="3"/>
  <c r="X13" i="3"/>
  <c r="Z13" i="3"/>
  <c r="AB13" i="3"/>
  <c r="AD13" i="3"/>
  <c r="AH13" i="3"/>
  <c r="AN13" i="3"/>
  <c r="AP13" i="3"/>
  <c r="D14" i="3"/>
  <c r="F14" i="3"/>
  <c r="H14" i="3"/>
  <c r="J14" i="3"/>
  <c r="L14" i="3"/>
  <c r="P14" i="3"/>
  <c r="T14" i="3"/>
  <c r="V14" i="3"/>
  <c r="X14" i="3"/>
  <c r="Z14" i="3"/>
  <c r="AB14" i="3"/>
  <c r="AD14" i="3"/>
  <c r="AN14" i="3"/>
  <c r="AP14" i="3"/>
  <c r="D15" i="3"/>
  <c r="F15" i="3"/>
  <c r="H15" i="3"/>
  <c r="J15" i="3"/>
  <c r="L15" i="3"/>
  <c r="P15" i="3"/>
  <c r="T15" i="3"/>
  <c r="V15" i="3"/>
  <c r="X15" i="3"/>
  <c r="Z15" i="3"/>
  <c r="AB15" i="3"/>
  <c r="AD15" i="3"/>
  <c r="AH15" i="3"/>
  <c r="AN15" i="3"/>
  <c r="AP15" i="3"/>
  <c r="D16" i="3"/>
  <c r="F16" i="3"/>
  <c r="H16" i="3"/>
  <c r="J16" i="3"/>
  <c r="L16" i="3"/>
  <c r="P16" i="3"/>
  <c r="T16" i="3"/>
  <c r="V16" i="3"/>
  <c r="X16" i="3"/>
  <c r="Z16" i="3"/>
  <c r="AB16" i="3"/>
  <c r="AD16" i="3"/>
  <c r="AH16" i="3"/>
  <c r="AN16" i="3"/>
  <c r="AP16" i="3"/>
  <c r="D17" i="3"/>
  <c r="F17" i="3"/>
  <c r="H17" i="3"/>
  <c r="J17" i="3"/>
  <c r="L17" i="3"/>
  <c r="P17" i="3"/>
  <c r="T17" i="3"/>
  <c r="V17" i="3"/>
  <c r="X17" i="3"/>
  <c r="Z17" i="3"/>
  <c r="AB17" i="3"/>
  <c r="AD17" i="3"/>
  <c r="AH17" i="3"/>
  <c r="AN17" i="3"/>
  <c r="AP17" i="3"/>
  <c r="D18" i="3"/>
  <c r="F18" i="3"/>
  <c r="H18" i="3"/>
  <c r="J18" i="3"/>
  <c r="L18" i="3"/>
  <c r="P18" i="3"/>
  <c r="T18" i="3"/>
  <c r="V18" i="3"/>
  <c r="X18" i="3"/>
  <c r="AB18" i="3"/>
  <c r="AD18" i="3"/>
  <c r="AP18" i="3"/>
  <c r="D19" i="3"/>
  <c r="F19" i="3"/>
  <c r="H19" i="3"/>
  <c r="J19" i="3"/>
  <c r="L19" i="3"/>
  <c r="P19" i="3"/>
  <c r="T19" i="3"/>
  <c r="V19" i="3"/>
  <c r="X19" i="3"/>
  <c r="Z19" i="3"/>
  <c r="AB19" i="3"/>
  <c r="AD19" i="3"/>
  <c r="AH19" i="3"/>
  <c r="AN19" i="3"/>
  <c r="AP19" i="3"/>
  <c r="D20" i="3"/>
  <c r="F20" i="3"/>
  <c r="H20" i="3"/>
  <c r="J20" i="3"/>
  <c r="L20" i="3"/>
  <c r="P20" i="3"/>
  <c r="T20" i="3"/>
  <c r="V20" i="3"/>
  <c r="X20" i="3"/>
  <c r="Z20" i="3"/>
  <c r="AB20" i="3"/>
  <c r="AD20" i="3"/>
  <c r="AH20" i="3"/>
  <c r="AN20" i="3"/>
  <c r="AP20" i="3"/>
  <c r="D21" i="3"/>
  <c r="F21" i="3"/>
  <c r="H21" i="3"/>
  <c r="J21" i="3"/>
  <c r="L21" i="3"/>
  <c r="P21" i="3"/>
  <c r="T21" i="3"/>
  <c r="V21" i="3"/>
  <c r="X21" i="3"/>
  <c r="Z21" i="3"/>
  <c r="AB21" i="3"/>
  <c r="AD21" i="3"/>
  <c r="AH21" i="3"/>
  <c r="AN21" i="3"/>
  <c r="AP21" i="3"/>
  <c r="D22" i="3"/>
  <c r="F22" i="3"/>
  <c r="H22" i="3"/>
  <c r="J22" i="3"/>
  <c r="L22" i="3"/>
  <c r="P22" i="3"/>
  <c r="T22" i="3"/>
  <c r="V22" i="3"/>
  <c r="X22" i="3"/>
  <c r="Z22" i="3"/>
  <c r="AB22" i="3"/>
  <c r="AD22" i="3"/>
  <c r="AN22" i="3"/>
  <c r="AP22" i="3"/>
  <c r="D23" i="3"/>
  <c r="F23" i="3"/>
  <c r="H23" i="3"/>
  <c r="J23" i="3"/>
  <c r="L23" i="3"/>
  <c r="P23" i="3"/>
  <c r="T23" i="3"/>
  <c r="V23" i="3"/>
  <c r="X23" i="3"/>
  <c r="Z23" i="3"/>
  <c r="AB23" i="3"/>
  <c r="AD23" i="3"/>
  <c r="AH23" i="3"/>
  <c r="AN23" i="3"/>
  <c r="AP23" i="3"/>
  <c r="D24" i="3"/>
  <c r="F24" i="3"/>
  <c r="H24" i="3"/>
  <c r="J24" i="3"/>
  <c r="L24" i="3"/>
  <c r="P24" i="3"/>
  <c r="T24" i="3"/>
  <c r="V24" i="3"/>
  <c r="X24" i="3"/>
  <c r="Z24" i="3"/>
  <c r="AB24" i="3"/>
  <c r="AD24" i="3"/>
  <c r="AN24" i="3"/>
  <c r="AP24" i="3"/>
  <c r="D25" i="3"/>
  <c r="F25" i="3"/>
  <c r="H25" i="3"/>
  <c r="J25" i="3"/>
  <c r="L25" i="3"/>
  <c r="P25" i="3"/>
  <c r="T25" i="3"/>
  <c r="V25" i="3"/>
  <c r="X25" i="3"/>
  <c r="Z25" i="3"/>
  <c r="AB25" i="3"/>
  <c r="AD25" i="3"/>
  <c r="AH25" i="3"/>
  <c r="AP25" i="3"/>
  <c r="AP8" i="3"/>
  <c r="AN8" i="3"/>
  <c r="AH8" i="3"/>
  <c r="AD8" i="3"/>
  <c r="AB8" i="3"/>
  <c r="Z8" i="3"/>
  <c r="X8" i="3"/>
  <c r="V8" i="3"/>
  <c r="T8" i="3"/>
  <c r="P8" i="3"/>
  <c r="L8" i="3"/>
  <c r="J8" i="3"/>
  <c r="H8" i="3"/>
  <c r="F8" i="3"/>
  <c r="D8" i="3"/>
  <c r="BH25" i="4"/>
  <c r="BG25" i="4"/>
  <c r="BD25" i="4"/>
  <c r="BA25" i="4"/>
  <c r="AJ25" i="4"/>
  <c r="AI25" i="4"/>
  <c r="AF25" i="4"/>
  <c r="AD25" i="4"/>
  <c r="AC25" i="4"/>
  <c r="Z25" i="4"/>
  <c r="X25" i="4"/>
  <c r="W25" i="4"/>
  <c r="T25" i="4"/>
  <c r="L25" i="4"/>
  <c r="K25" i="4"/>
  <c r="H25" i="4"/>
  <c r="BH24" i="4"/>
  <c r="BG24" i="4"/>
  <c r="BD24" i="4"/>
  <c r="BB24" i="4"/>
  <c r="BA24" i="4"/>
  <c r="AX24" i="4"/>
  <c r="AJ24" i="4"/>
  <c r="AI24" i="4"/>
  <c r="AF24" i="4"/>
  <c r="AD24" i="4"/>
  <c r="AC24" i="4"/>
  <c r="Z24" i="4"/>
  <c r="X24" i="4"/>
  <c r="W24" i="4"/>
  <c r="T24" i="4"/>
  <c r="L24" i="4"/>
  <c r="K24" i="4"/>
  <c r="H24" i="4"/>
  <c r="BH23" i="4"/>
  <c r="BG23" i="4"/>
  <c r="BD23" i="4"/>
  <c r="BB23" i="4"/>
  <c r="BA23" i="4"/>
  <c r="AX23" i="4"/>
  <c r="AJ23" i="4"/>
  <c r="AI23" i="4"/>
  <c r="AF23" i="4"/>
  <c r="AD23" i="4"/>
  <c r="AE23" i="4" s="1"/>
  <c r="G23" i="4" s="1"/>
  <c r="Z23" i="4"/>
  <c r="AA23" i="4" s="1"/>
  <c r="X23" i="4"/>
  <c r="W23" i="4"/>
  <c r="T23" i="4"/>
  <c r="L23" i="4"/>
  <c r="K23" i="4"/>
  <c r="H23" i="4"/>
  <c r="BH22" i="4"/>
  <c r="BG22" i="4"/>
  <c r="BD22" i="4"/>
  <c r="BB22" i="4"/>
  <c r="BA22" i="4"/>
  <c r="AX22" i="4"/>
  <c r="AJ22" i="4"/>
  <c r="AI22" i="4"/>
  <c r="AF22" i="4"/>
  <c r="AD22" i="4"/>
  <c r="AC22" i="4"/>
  <c r="Z22" i="4"/>
  <c r="X22" i="4"/>
  <c r="W22" i="4"/>
  <c r="T22" i="4"/>
  <c r="L22" i="4"/>
  <c r="K22" i="4"/>
  <c r="H22" i="4"/>
  <c r="BH21" i="4"/>
  <c r="BG21" i="4"/>
  <c r="BD21" i="4"/>
  <c r="BB21" i="4"/>
  <c r="BA21" i="4"/>
  <c r="AX21" i="4"/>
  <c r="AJ21" i="4"/>
  <c r="AI21" i="4"/>
  <c r="AF21" i="4"/>
  <c r="AD21" i="4"/>
  <c r="AC21" i="4"/>
  <c r="Z21" i="4"/>
  <c r="X21" i="4"/>
  <c r="W21" i="4"/>
  <c r="T21" i="4"/>
  <c r="L21" i="4"/>
  <c r="K21" i="4"/>
  <c r="H21" i="4"/>
  <c r="BH20" i="4"/>
  <c r="BG20" i="4"/>
  <c r="BD20" i="4"/>
  <c r="BB20" i="4"/>
  <c r="BA20" i="4"/>
  <c r="AX20" i="4"/>
  <c r="AJ20" i="4"/>
  <c r="AI20" i="4"/>
  <c r="AF20" i="4"/>
  <c r="AD20" i="4"/>
  <c r="AC20" i="4"/>
  <c r="Z20" i="4"/>
  <c r="X20" i="4"/>
  <c r="W20" i="4"/>
  <c r="T20" i="4"/>
  <c r="L20" i="4"/>
  <c r="K20" i="4"/>
  <c r="H20" i="4"/>
  <c r="BH19" i="4"/>
  <c r="BG19" i="4"/>
  <c r="BD19" i="4"/>
  <c r="BB19" i="4"/>
  <c r="BA19" i="4"/>
  <c r="AX19" i="4"/>
  <c r="AJ19" i="4"/>
  <c r="AI19" i="4"/>
  <c r="AF19" i="4"/>
  <c r="AD19" i="4"/>
  <c r="AC19" i="4"/>
  <c r="Z19" i="4"/>
  <c r="X19" i="4"/>
  <c r="W19" i="4"/>
  <c r="T19" i="4"/>
  <c r="L19" i="4"/>
  <c r="H19" i="4"/>
  <c r="BH18" i="4"/>
  <c r="BG18" i="4"/>
  <c r="BD18" i="4"/>
  <c r="BA18" i="4"/>
  <c r="AJ18" i="4"/>
  <c r="AI18" i="4"/>
  <c r="AF18" i="4"/>
  <c r="AD18" i="4"/>
  <c r="AC18" i="4"/>
  <c r="Z18" i="4"/>
  <c r="X18" i="4"/>
  <c r="W18" i="4"/>
  <c r="T18" i="4"/>
  <c r="L18" i="4"/>
  <c r="H18" i="4"/>
  <c r="BH17" i="4"/>
  <c r="BG17" i="4"/>
  <c r="BD17" i="4"/>
  <c r="BB17" i="4"/>
  <c r="BA17" i="4"/>
  <c r="AX17" i="4"/>
  <c r="AJ17" i="4"/>
  <c r="AI17" i="4"/>
  <c r="AF17" i="4"/>
  <c r="AD17" i="4"/>
  <c r="AC17" i="4"/>
  <c r="Z17" i="4"/>
  <c r="X17" i="4"/>
  <c r="W17" i="4"/>
  <c r="T17" i="4"/>
  <c r="L17" i="4"/>
  <c r="H17" i="4"/>
  <c r="BH16" i="4"/>
  <c r="BG16" i="4"/>
  <c r="BD16" i="4"/>
  <c r="BB16" i="4"/>
  <c r="BA16" i="4"/>
  <c r="AX16" i="4"/>
  <c r="AJ16" i="4"/>
  <c r="AI16" i="4"/>
  <c r="AF16" i="4"/>
  <c r="AD16" i="4"/>
  <c r="AC16" i="4"/>
  <c r="Z16" i="4"/>
  <c r="X16" i="4"/>
  <c r="W16" i="4"/>
  <c r="T16" i="4"/>
  <c r="L16" i="4"/>
  <c r="K16" i="4"/>
  <c r="H16" i="4"/>
  <c r="BH15" i="4"/>
  <c r="BG15" i="4"/>
  <c r="BD15" i="4"/>
  <c r="BB15" i="4"/>
  <c r="BA15" i="4"/>
  <c r="AX15" i="4"/>
  <c r="AJ15" i="4"/>
  <c r="AI15" i="4"/>
  <c r="AF15" i="4"/>
  <c r="AD15" i="4"/>
  <c r="AC15" i="4"/>
  <c r="Z15" i="4"/>
  <c r="X15" i="4"/>
  <c r="W15" i="4"/>
  <c r="T15" i="4"/>
  <c r="L15" i="4"/>
  <c r="K15" i="4"/>
  <c r="H15" i="4"/>
  <c r="BH14" i="4"/>
  <c r="BG14" i="4"/>
  <c r="BD14" i="4"/>
  <c r="BB14" i="4"/>
  <c r="BA14" i="4"/>
  <c r="AX14" i="4"/>
  <c r="AJ14" i="4"/>
  <c r="AI14" i="4"/>
  <c r="AF14" i="4"/>
  <c r="AD14" i="4"/>
  <c r="AC14" i="4"/>
  <c r="Z14" i="4"/>
  <c r="X14" i="4"/>
  <c r="W14" i="4"/>
  <c r="T14" i="4"/>
  <c r="L14" i="4"/>
  <c r="K14" i="4"/>
  <c r="H14" i="4"/>
  <c r="BH13" i="4"/>
  <c r="BG13" i="4"/>
  <c r="BD13" i="4"/>
  <c r="BB13" i="4"/>
  <c r="BA13" i="4"/>
  <c r="AX13" i="4"/>
  <c r="AJ13" i="4"/>
  <c r="AI13" i="4"/>
  <c r="AF13" i="4"/>
  <c r="AD13" i="4"/>
  <c r="AC13" i="4"/>
  <c r="Z13" i="4"/>
  <c r="X13" i="4"/>
  <c r="W13" i="4"/>
  <c r="T13" i="4"/>
  <c r="L13" i="4"/>
  <c r="K13" i="4"/>
  <c r="H13" i="4"/>
  <c r="BH12" i="4"/>
  <c r="BG12" i="4"/>
  <c r="BD12" i="4"/>
  <c r="BB12" i="4"/>
  <c r="BA12" i="4"/>
  <c r="AX12" i="4"/>
  <c r="AJ12" i="4"/>
  <c r="AI12" i="4"/>
  <c r="AF12" i="4"/>
  <c r="AD12" i="4"/>
  <c r="AC12" i="4"/>
  <c r="Z12" i="4"/>
  <c r="X12" i="4"/>
  <c r="W12" i="4"/>
  <c r="T12" i="4"/>
  <c r="L12" i="4"/>
  <c r="K12" i="4"/>
  <c r="H12" i="4"/>
  <c r="BH11" i="4"/>
  <c r="BG11" i="4"/>
  <c r="BD11" i="4"/>
  <c r="BB11" i="4"/>
  <c r="BA11" i="4"/>
  <c r="AX11" i="4"/>
  <c r="AJ11" i="4"/>
  <c r="AI11" i="4"/>
  <c r="AF11" i="4"/>
  <c r="AD11" i="4"/>
  <c r="AC11" i="4"/>
  <c r="Z11" i="4"/>
  <c r="X11" i="4"/>
  <c r="W11" i="4"/>
  <c r="T11" i="4"/>
  <c r="L11" i="4"/>
  <c r="K11" i="4"/>
  <c r="H11" i="4"/>
  <c r="BH10" i="4"/>
  <c r="BG10" i="4"/>
  <c r="BD10" i="4"/>
  <c r="BA10" i="4"/>
  <c r="AJ10" i="4"/>
  <c r="AI10" i="4"/>
  <c r="AF10" i="4"/>
  <c r="AD10" i="4"/>
  <c r="AC10" i="4"/>
  <c r="Z10" i="4"/>
  <c r="X10" i="4"/>
  <c r="W10" i="4"/>
  <c r="T10" i="4"/>
  <c r="L10" i="4"/>
  <c r="K10" i="4"/>
  <c r="H10" i="4"/>
  <c r="BH9" i="4"/>
  <c r="BG9" i="4"/>
  <c r="BD9" i="4"/>
  <c r="BB9" i="4"/>
  <c r="BA9" i="4"/>
  <c r="AX9" i="4"/>
  <c r="AJ9" i="4"/>
  <c r="AI9" i="4"/>
  <c r="AF9" i="4"/>
  <c r="AD9" i="4"/>
  <c r="AC9" i="4"/>
  <c r="Z9" i="4"/>
  <c r="X9" i="4"/>
  <c r="W9" i="4"/>
  <c r="T9" i="4"/>
  <c r="L9" i="4"/>
  <c r="K9" i="4"/>
  <c r="H9" i="4"/>
  <c r="TB32" i="2" l="1"/>
  <c r="CM29" i="6"/>
  <c r="CM36" i="6" s="1"/>
  <c r="UG12" i="2"/>
  <c r="UG28" i="2"/>
  <c r="UG26" i="2"/>
  <c r="UG24" i="2"/>
  <c r="UG22" i="2"/>
  <c r="UG20" i="2"/>
  <c r="UG18" i="2"/>
  <c r="UG16" i="2"/>
  <c r="UG14" i="2"/>
  <c r="UG29" i="2"/>
  <c r="UG27" i="2"/>
  <c r="UG25" i="2"/>
  <c r="UG23" i="2"/>
  <c r="UG21" i="2"/>
  <c r="UG19" i="2"/>
  <c r="UG17" i="2"/>
  <c r="UG15" i="2"/>
  <c r="UG13" i="2"/>
  <c r="UG32" i="2"/>
  <c r="UG33" i="2"/>
  <c r="NA30" i="2"/>
  <c r="NA37" i="2" s="1"/>
  <c r="I8" i="3"/>
  <c r="W23" i="3"/>
  <c r="G14" i="3"/>
  <c r="W12" i="3"/>
  <c r="I11" i="3"/>
  <c r="W25" i="3"/>
  <c r="I22" i="3"/>
  <c r="W19" i="3"/>
  <c r="I17" i="3"/>
  <c r="I14" i="3"/>
  <c r="I24" i="3"/>
  <c r="W22" i="3"/>
  <c r="I21" i="3"/>
  <c r="W17" i="3"/>
  <c r="W14" i="3"/>
  <c r="I13" i="3"/>
  <c r="G29" i="3"/>
  <c r="I23" i="3"/>
  <c r="W21" i="3"/>
  <c r="I20" i="3"/>
  <c r="I15" i="3"/>
  <c r="W13" i="3"/>
  <c r="I12" i="3"/>
  <c r="W10" i="3"/>
  <c r="E24" i="4"/>
  <c r="E20" i="4"/>
  <c r="E22" i="4"/>
  <c r="B8" i="3"/>
  <c r="B21" i="3"/>
  <c r="B16" i="3"/>
  <c r="B13" i="3"/>
  <c r="B23" i="3"/>
  <c r="B20" i="3"/>
  <c r="B15" i="3"/>
  <c r="B12" i="3"/>
  <c r="B19" i="3"/>
  <c r="B11" i="3"/>
  <c r="B17" i="3"/>
  <c r="E21" i="4"/>
  <c r="E12" i="4"/>
  <c r="UO29" i="2"/>
  <c r="CK29" i="6"/>
  <c r="CK36" i="6" s="1"/>
  <c r="UO26" i="2"/>
  <c r="UO22" i="2"/>
  <c r="UO18" i="2"/>
  <c r="UO14" i="2"/>
  <c r="UO32" i="2"/>
  <c r="UO25" i="2"/>
  <c r="UO21" i="2"/>
  <c r="UO17" i="2"/>
  <c r="UO13" i="2"/>
  <c r="UO33" i="2"/>
  <c r="UO27" i="2"/>
  <c r="UO23" i="2"/>
  <c r="UO19" i="2"/>
  <c r="UO15" i="2"/>
  <c r="UO12" i="2"/>
  <c r="UO28" i="2"/>
  <c r="UO24" i="2"/>
  <c r="UO20" i="2"/>
  <c r="UO16" i="2"/>
  <c r="F24" i="4"/>
  <c r="W29" i="3"/>
  <c r="W28" i="3"/>
  <c r="C23" i="4"/>
  <c r="Y10" i="3"/>
  <c r="F20" i="4"/>
  <c r="B21" i="4"/>
  <c r="F22" i="4"/>
  <c r="B23" i="4"/>
  <c r="AC23" i="4"/>
  <c r="E23" i="4" s="1"/>
  <c r="E15" i="4"/>
  <c r="E10" i="4"/>
  <c r="E25" i="4"/>
  <c r="E11" i="4"/>
  <c r="E202" i="8"/>
  <c r="H202" i="8" s="1"/>
  <c r="E194" i="8"/>
  <c r="E197" i="8" s="1"/>
  <c r="G199" i="8"/>
  <c r="H199" i="8"/>
  <c r="E9" i="4"/>
  <c r="E14" i="4"/>
  <c r="E16" i="4"/>
  <c r="E13" i="4"/>
  <c r="F11" i="4"/>
  <c r="B12" i="4"/>
  <c r="F9" i="4"/>
  <c r="B11" i="4"/>
  <c r="F12" i="4"/>
  <c r="B13" i="4"/>
  <c r="F14" i="4"/>
  <c r="B15" i="4"/>
  <c r="F16" i="4"/>
  <c r="B17" i="4"/>
  <c r="B19" i="4"/>
  <c r="B9" i="4"/>
  <c r="B14" i="4"/>
  <c r="F15" i="4"/>
  <c r="B16" i="4"/>
  <c r="F13" i="4"/>
  <c r="F17" i="4"/>
  <c r="F19" i="4"/>
  <c r="B20" i="4"/>
  <c r="F21" i="4"/>
  <c r="B22" i="4"/>
  <c r="F23" i="4"/>
  <c r="B24" i="4"/>
  <c r="U28" i="3"/>
  <c r="Y24" i="3"/>
  <c r="Y13" i="3"/>
  <c r="O20" i="3"/>
  <c r="VC29" i="2"/>
  <c r="VC25" i="2"/>
  <c r="VC21" i="2"/>
  <c r="VC17" i="2"/>
  <c r="VC13" i="2"/>
  <c r="O21" i="3"/>
  <c r="VC12" i="2"/>
  <c r="VC26" i="2"/>
  <c r="VC22" i="2"/>
  <c r="VC18" i="2"/>
  <c r="VC14" i="2"/>
  <c r="O22" i="3"/>
  <c r="O18" i="3"/>
  <c r="VC27" i="2"/>
  <c r="VC23" i="2"/>
  <c r="VC19" i="2"/>
  <c r="VC15" i="2"/>
  <c r="O23" i="3"/>
  <c r="O19" i="3"/>
  <c r="O11" i="3"/>
  <c r="VC28" i="2"/>
  <c r="VC24" i="2"/>
  <c r="VC20" i="2"/>
  <c r="VC16" i="2"/>
  <c r="I18" i="4"/>
  <c r="C18" i="4" s="1"/>
  <c r="I17" i="4"/>
  <c r="C17" i="4" s="1"/>
  <c r="I19" i="4"/>
  <c r="C19" i="4" s="1"/>
  <c r="M18" i="4"/>
  <c r="G18" i="4" s="1"/>
  <c r="VO30" i="2"/>
  <c r="VO37" i="2" s="1"/>
  <c r="O15" i="3"/>
  <c r="O14" i="3"/>
  <c r="O10" i="3"/>
  <c r="O28" i="3"/>
  <c r="O24" i="3"/>
  <c r="O16" i="3"/>
  <c r="O12" i="3"/>
  <c r="O29" i="3"/>
  <c r="O25" i="3"/>
  <c r="O17" i="3"/>
  <c r="O13" i="3"/>
  <c r="O9" i="3"/>
  <c r="AK37" i="2"/>
  <c r="NQ28" i="2"/>
  <c r="NQ26" i="2"/>
  <c r="NQ24" i="2"/>
  <c r="NQ22" i="2"/>
  <c r="NQ20" i="2"/>
  <c r="NQ18" i="2"/>
  <c r="NQ29" i="2"/>
  <c r="NQ27" i="2"/>
  <c r="NQ25" i="2"/>
  <c r="NQ23" i="2"/>
  <c r="NQ21" i="2"/>
  <c r="NQ19" i="2"/>
  <c r="NQ17" i="2"/>
  <c r="NQ15" i="2"/>
  <c r="NQ13" i="2"/>
  <c r="NQ14" i="2"/>
  <c r="OE15" i="2"/>
  <c r="OE13" i="2"/>
  <c r="PG28" i="2"/>
  <c r="PG26" i="2"/>
  <c r="PG24" i="2"/>
  <c r="PG22" i="2"/>
  <c r="PG20" i="2"/>
  <c r="PG18" i="2"/>
  <c r="PG16" i="2"/>
  <c r="PG14" i="2"/>
  <c r="OE28" i="2"/>
  <c r="OE26" i="2"/>
  <c r="OE24" i="2"/>
  <c r="OE22" i="2"/>
  <c r="OE20" i="2"/>
  <c r="OE18" i="2"/>
  <c r="NQ33" i="2"/>
  <c r="PG12" i="2"/>
  <c r="OE12" i="2"/>
  <c r="OE14" i="2"/>
  <c r="PG29" i="2"/>
  <c r="PG27" i="2"/>
  <c r="PG25" i="2"/>
  <c r="PG23" i="2"/>
  <c r="PG21" i="2"/>
  <c r="PG19" i="2"/>
  <c r="PG17" i="2"/>
  <c r="PG15" i="2"/>
  <c r="PG13" i="2"/>
  <c r="OE29" i="2"/>
  <c r="OE27" i="2"/>
  <c r="OE25" i="2"/>
  <c r="OE23" i="2"/>
  <c r="OE21" i="2"/>
  <c r="OE19" i="2"/>
  <c r="OE17" i="2"/>
  <c r="NQ12" i="2"/>
  <c r="NQ32" i="2"/>
  <c r="RC13" i="2"/>
  <c r="RC15" i="2"/>
  <c r="RC17" i="2"/>
  <c r="RC19" i="2"/>
  <c r="RC21" i="2"/>
  <c r="RC23" i="2"/>
  <c r="RC25" i="2"/>
  <c r="RC27" i="2"/>
  <c r="RC29" i="2"/>
  <c r="RC12" i="2"/>
  <c r="RC16" i="2"/>
  <c r="RC18" i="2"/>
  <c r="RC20" i="2"/>
  <c r="RC22" i="2"/>
  <c r="RC24" i="2"/>
  <c r="RC26" i="2"/>
  <c r="RC28" i="2"/>
  <c r="RC32" i="2"/>
  <c r="J9" i="4"/>
  <c r="AH9" i="4"/>
  <c r="J10" i="4"/>
  <c r="AH10" i="4"/>
  <c r="J11" i="4"/>
  <c r="AH11" i="4"/>
  <c r="J13" i="4"/>
  <c r="AH13" i="4"/>
  <c r="J14" i="4"/>
  <c r="AH14" i="4"/>
  <c r="J15" i="4"/>
  <c r="AH15" i="4"/>
  <c r="J16" i="4"/>
  <c r="J17" i="4"/>
  <c r="AH19" i="4"/>
  <c r="J20" i="4"/>
  <c r="AH20" i="4"/>
  <c r="AH21" i="4"/>
  <c r="J22" i="4"/>
  <c r="AZ9" i="4"/>
  <c r="V10" i="4"/>
  <c r="AZ11" i="4"/>
  <c r="V12" i="4"/>
  <c r="AZ12" i="4"/>
  <c r="V13" i="4"/>
  <c r="V14" i="4"/>
  <c r="AZ14" i="4"/>
  <c r="V9" i="4"/>
  <c r="V15" i="4"/>
  <c r="AZ15" i="4"/>
  <c r="V16" i="4"/>
  <c r="AZ16" i="4"/>
  <c r="V17" i="4"/>
  <c r="AZ17" i="4"/>
  <c r="V18" i="4"/>
  <c r="V19" i="4"/>
  <c r="V20" i="4"/>
  <c r="V21" i="4"/>
  <c r="J24" i="4"/>
  <c r="AH25" i="4"/>
  <c r="AZ22" i="4"/>
  <c r="V23" i="4"/>
  <c r="AZ23" i="4"/>
  <c r="SE17" i="2"/>
  <c r="V24" i="4"/>
  <c r="AZ24" i="4"/>
  <c r="V25" i="4"/>
  <c r="BF9" i="4"/>
  <c r="BF10" i="4"/>
  <c r="BF12" i="4"/>
  <c r="AB10" i="4"/>
  <c r="AB11" i="4"/>
  <c r="SE22" i="2"/>
  <c r="BF11" i="4"/>
  <c r="BF13" i="4"/>
  <c r="BF16" i="4"/>
  <c r="BF17" i="4"/>
  <c r="BF18" i="4"/>
  <c r="BF19" i="4"/>
  <c r="BF20" i="4"/>
  <c r="BF21" i="4"/>
  <c r="BF22" i="4"/>
  <c r="BF24" i="4"/>
  <c r="BF25" i="4"/>
  <c r="SE14" i="2"/>
  <c r="SE16" i="2"/>
  <c r="SE18" i="2"/>
  <c r="SE20" i="2"/>
  <c r="SE15" i="2"/>
  <c r="AB12" i="4"/>
  <c r="AZ13" i="4"/>
  <c r="AB16" i="4"/>
  <c r="J19" i="4"/>
  <c r="AB20" i="4"/>
  <c r="AZ21" i="4"/>
  <c r="V22" i="4"/>
  <c r="J23" i="4"/>
  <c r="AH23" i="4"/>
  <c r="AB24" i="4"/>
  <c r="V11" i="4"/>
  <c r="J12" i="4"/>
  <c r="AH12" i="4"/>
  <c r="AB13" i="4"/>
  <c r="AH16" i="4"/>
  <c r="AB17" i="4"/>
  <c r="AB21" i="4"/>
  <c r="AH24" i="4"/>
  <c r="AB25" i="4"/>
  <c r="AB9" i="4"/>
  <c r="AB14" i="4"/>
  <c r="BF14" i="4"/>
  <c r="AH17" i="4"/>
  <c r="AB18" i="4"/>
  <c r="AZ19" i="4"/>
  <c r="J21" i="4"/>
  <c r="AB22" i="4"/>
  <c r="J25" i="4"/>
  <c r="AB15" i="4"/>
  <c r="BF15" i="4"/>
  <c r="J18" i="4"/>
  <c r="AH18" i="4"/>
  <c r="AB19" i="4"/>
  <c r="AZ20" i="4"/>
  <c r="AH22" i="4"/>
  <c r="AB23" i="4"/>
  <c r="BF23" i="4"/>
  <c r="SE13" i="2"/>
  <c r="SE24" i="2"/>
  <c r="SE26" i="2"/>
  <c r="SE28" i="2"/>
  <c r="SE32" i="2"/>
  <c r="SE29" i="2"/>
  <c r="SE21" i="2"/>
  <c r="SE23" i="2"/>
  <c r="SE19" i="2"/>
  <c r="SE27" i="2"/>
  <c r="SE33" i="2"/>
  <c r="SE25" i="2"/>
  <c r="BH8" i="4"/>
  <c r="BD8" i="4"/>
  <c r="BB8" i="4"/>
  <c r="AX8" i="4"/>
  <c r="AJ8" i="4"/>
  <c r="AF8" i="4"/>
  <c r="AD8" i="4"/>
  <c r="Z8" i="4"/>
  <c r="X8" i="4"/>
  <c r="T8" i="4"/>
  <c r="L8" i="4"/>
  <c r="H8" i="4"/>
  <c r="F9" i="5"/>
  <c r="H9" i="5"/>
  <c r="J9" i="5"/>
  <c r="L9" i="5"/>
  <c r="N9" i="5"/>
  <c r="P9" i="5"/>
  <c r="R9" i="5"/>
  <c r="T9" i="5"/>
  <c r="Z9" i="5"/>
  <c r="AB9" i="5"/>
  <c r="AD9" i="5"/>
  <c r="AF9" i="5"/>
  <c r="AH9" i="5"/>
  <c r="AJ9" i="5"/>
  <c r="AL9" i="5"/>
  <c r="F10" i="5"/>
  <c r="H10" i="5"/>
  <c r="J10" i="5"/>
  <c r="L10" i="5"/>
  <c r="N10" i="5"/>
  <c r="P10" i="5"/>
  <c r="R10" i="5"/>
  <c r="T10" i="5"/>
  <c r="Z10" i="5"/>
  <c r="AB10" i="5"/>
  <c r="AD10" i="5"/>
  <c r="AF10" i="5"/>
  <c r="AH10" i="5"/>
  <c r="AJ10" i="5"/>
  <c r="AL10" i="5"/>
  <c r="F11" i="5"/>
  <c r="H11" i="5"/>
  <c r="J11" i="5"/>
  <c r="L11" i="5"/>
  <c r="N11" i="5"/>
  <c r="P11" i="5"/>
  <c r="R11" i="5"/>
  <c r="T11" i="5"/>
  <c r="Z11" i="5"/>
  <c r="AB11" i="5"/>
  <c r="AD11" i="5"/>
  <c r="AF11" i="5"/>
  <c r="AH11" i="5"/>
  <c r="AJ11" i="5"/>
  <c r="AL11" i="5"/>
  <c r="F12" i="5"/>
  <c r="H12" i="5"/>
  <c r="J12" i="5"/>
  <c r="L12" i="5"/>
  <c r="N12" i="5"/>
  <c r="P12" i="5"/>
  <c r="R12" i="5"/>
  <c r="T12" i="5"/>
  <c r="Z12" i="5"/>
  <c r="AB12" i="5"/>
  <c r="AD12" i="5"/>
  <c r="AF12" i="5"/>
  <c r="AH12" i="5"/>
  <c r="AJ12" i="5"/>
  <c r="AL12" i="5"/>
  <c r="F13" i="5"/>
  <c r="H13" i="5"/>
  <c r="J13" i="5"/>
  <c r="L13" i="5"/>
  <c r="N13" i="5"/>
  <c r="P13" i="5"/>
  <c r="R13" i="5"/>
  <c r="T13" i="5"/>
  <c r="Z13" i="5"/>
  <c r="AB13" i="5"/>
  <c r="AD13" i="5"/>
  <c r="AF13" i="5"/>
  <c r="AH13" i="5"/>
  <c r="AJ13" i="5"/>
  <c r="AL13" i="5"/>
  <c r="F14" i="5"/>
  <c r="H14" i="5"/>
  <c r="J14" i="5"/>
  <c r="L14" i="5"/>
  <c r="N14" i="5"/>
  <c r="P14" i="5"/>
  <c r="R14" i="5"/>
  <c r="T14" i="5"/>
  <c r="Z14" i="5"/>
  <c r="AB14" i="5"/>
  <c r="AD14" i="5"/>
  <c r="AF14" i="5"/>
  <c r="AH14" i="5"/>
  <c r="AJ14" i="5"/>
  <c r="AL14" i="5"/>
  <c r="F15" i="5"/>
  <c r="H15" i="5"/>
  <c r="J15" i="5"/>
  <c r="L15" i="5"/>
  <c r="N15" i="5"/>
  <c r="P15" i="5"/>
  <c r="R15" i="5"/>
  <c r="T15" i="5"/>
  <c r="Z15" i="5"/>
  <c r="AB15" i="5"/>
  <c r="AD15" i="5"/>
  <c r="AF15" i="5"/>
  <c r="AH15" i="5"/>
  <c r="AJ15" i="5"/>
  <c r="AL15" i="5"/>
  <c r="F16" i="5"/>
  <c r="H16" i="5"/>
  <c r="J16" i="5"/>
  <c r="L16" i="5"/>
  <c r="N16" i="5"/>
  <c r="P16" i="5"/>
  <c r="R16" i="5"/>
  <c r="T16" i="5"/>
  <c r="Z16" i="5"/>
  <c r="AB16" i="5"/>
  <c r="AD16" i="5"/>
  <c r="AF16" i="5"/>
  <c r="AH16" i="5"/>
  <c r="AJ16" i="5"/>
  <c r="AL16" i="5"/>
  <c r="F17" i="5"/>
  <c r="H17" i="5"/>
  <c r="J17" i="5"/>
  <c r="L17" i="5"/>
  <c r="N17" i="5"/>
  <c r="P17" i="5"/>
  <c r="R17" i="5"/>
  <c r="T17" i="5"/>
  <c r="Z17" i="5"/>
  <c r="AB17" i="5"/>
  <c r="AD17" i="5"/>
  <c r="AF17" i="5"/>
  <c r="AH17" i="5"/>
  <c r="AJ17" i="5"/>
  <c r="AL17" i="5"/>
  <c r="F18" i="5"/>
  <c r="H18" i="5"/>
  <c r="J18" i="5"/>
  <c r="L18" i="5"/>
  <c r="N18" i="5"/>
  <c r="P18" i="5"/>
  <c r="R18" i="5"/>
  <c r="T18" i="5"/>
  <c r="Z18" i="5"/>
  <c r="AB18" i="5"/>
  <c r="AD18" i="5"/>
  <c r="AF18" i="5"/>
  <c r="AH18" i="5"/>
  <c r="AJ18" i="5"/>
  <c r="AL18" i="5"/>
  <c r="F19" i="5"/>
  <c r="H19" i="5"/>
  <c r="J19" i="5"/>
  <c r="L19" i="5"/>
  <c r="N19" i="5"/>
  <c r="P19" i="5"/>
  <c r="R19" i="5"/>
  <c r="T19" i="5"/>
  <c r="Z19" i="5"/>
  <c r="AB19" i="5"/>
  <c r="AD19" i="5"/>
  <c r="AF19" i="5"/>
  <c r="AH19" i="5"/>
  <c r="AJ19" i="5"/>
  <c r="AL19" i="5"/>
  <c r="F20" i="5"/>
  <c r="H20" i="5"/>
  <c r="J20" i="5"/>
  <c r="L20" i="5"/>
  <c r="N20" i="5"/>
  <c r="P20" i="5"/>
  <c r="R20" i="5"/>
  <c r="T20" i="5"/>
  <c r="Z20" i="5"/>
  <c r="AB20" i="5"/>
  <c r="AD20" i="5"/>
  <c r="AF20" i="5"/>
  <c r="AH20" i="5"/>
  <c r="AJ20" i="5"/>
  <c r="AL20" i="5"/>
  <c r="F21" i="5"/>
  <c r="H21" i="5"/>
  <c r="J21" i="5"/>
  <c r="L21" i="5"/>
  <c r="N21" i="5"/>
  <c r="P21" i="5"/>
  <c r="R21" i="5"/>
  <c r="T21" i="5"/>
  <c r="Z21" i="5"/>
  <c r="AB21" i="5"/>
  <c r="AD21" i="5"/>
  <c r="AF21" i="5"/>
  <c r="AH21" i="5"/>
  <c r="AJ21" i="5"/>
  <c r="AL21" i="5"/>
  <c r="F22" i="5"/>
  <c r="H22" i="5"/>
  <c r="J22" i="5"/>
  <c r="L22" i="5"/>
  <c r="N22" i="5"/>
  <c r="P22" i="5"/>
  <c r="R22" i="5"/>
  <c r="T22" i="5"/>
  <c r="Z22" i="5"/>
  <c r="AB22" i="5"/>
  <c r="AD22" i="5"/>
  <c r="AF22" i="5"/>
  <c r="AH22" i="5"/>
  <c r="AJ22" i="5"/>
  <c r="AL22" i="5"/>
  <c r="F23" i="5"/>
  <c r="H23" i="5"/>
  <c r="J23" i="5"/>
  <c r="L23" i="5"/>
  <c r="N23" i="5"/>
  <c r="P23" i="5"/>
  <c r="R23" i="5"/>
  <c r="T23" i="5"/>
  <c r="Z23" i="5"/>
  <c r="AB23" i="5"/>
  <c r="AD23" i="5"/>
  <c r="AF23" i="5"/>
  <c r="AH23" i="5"/>
  <c r="AJ23" i="5"/>
  <c r="AL23" i="5"/>
  <c r="F24" i="5"/>
  <c r="H24" i="5"/>
  <c r="J24" i="5"/>
  <c r="L24" i="5"/>
  <c r="N24" i="5"/>
  <c r="P24" i="5"/>
  <c r="R24" i="5"/>
  <c r="T24" i="5"/>
  <c r="Z24" i="5"/>
  <c r="AB24" i="5"/>
  <c r="AD24" i="5"/>
  <c r="AF24" i="5"/>
  <c r="AH24" i="5"/>
  <c r="AJ24" i="5"/>
  <c r="AL24" i="5"/>
  <c r="F25" i="5"/>
  <c r="H25" i="5"/>
  <c r="J25" i="5"/>
  <c r="L25" i="5"/>
  <c r="N25" i="5"/>
  <c r="P25" i="5"/>
  <c r="R25" i="5"/>
  <c r="T25" i="5"/>
  <c r="Z25" i="5"/>
  <c r="AB25" i="5"/>
  <c r="AD25" i="5"/>
  <c r="AF25" i="5"/>
  <c r="AH25" i="5"/>
  <c r="AJ25" i="5"/>
  <c r="AL25" i="5"/>
  <c r="F26" i="5"/>
  <c r="H26" i="5"/>
  <c r="J26" i="5"/>
  <c r="L26" i="5"/>
  <c r="N26" i="5"/>
  <c r="P26" i="5"/>
  <c r="R26" i="5"/>
  <c r="T26" i="5"/>
  <c r="Z26" i="5"/>
  <c r="AB26" i="5"/>
  <c r="AD26" i="5"/>
  <c r="AF26" i="5"/>
  <c r="AH26" i="5"/>
  <c r="AJ26" i="5"/>
  <c r="AL26" i="5"/>
  <c r="F27" i="5"/>
  <c r="H27" i="5"/>
  <c r="J27" i="5"/>
  <c r="L27" i="5"/>
  <c r="N27" i="5"/>
  <c r="P27" i="5"/>
  <c r="R27" i="5"/>
  <c r="T27" i="5"/>
  <c r="Z27" i="5"/>
  <c r="AB27" i="5"/>
  <c r="AD27" i="5"/>
  <c r="AF27" i="5"/>
  <c r="AH27" i="5"/>
  <c r="AJ27" i="5"/>
  <c r="AL27" i="5"/>
  <c r="AL8" i="5"/>
  <c r="AJ8" i="5"/>
  <c r="AH8" i="5"/>
  <c r="AF8" i="5"/>
  <c r="AD8" i="5"/>
  <c r="AB8" i="5"/>
  <c r="Z8" i="5"/>
  <c r="T8" i="5"/>
  <c r="R8" i="5"/>
  <c r="P8" i="5"/>
  <c r="N8" i="5"/>
  <c r="L8" i="5"/>
  <c r="J8" i="5"/>
  <c r="H8" i="5"/>
  <c r="F8" i="5"/>
  <c r="UG34" i="2" l="1"/>
  <c r="UG30" i="2"/>
  <c r="RF19" i="2"/>
  <c r="C8" i="3"/>
  <c r="RF17" i="2"/>
  <c r="C17" i="3"/>
  <c r="C16" i="3"/>
  <c r="C14" i="3"/>
  <c r="C19" i="3"/>
  <c r="C13" i="3"/>
  <c r="C12" i="3"/>
  <c r="C10" i="3"/>
  <c r="C11" i="3"/>
  <c r="C22" i="3"/>
  <c r="C20" i="3"/>
  <c r="C9" i="3"/>
  <c r="C29" i="3"/>
  <c r="C28" i="3"/>
  <c r="C18" i="3"/>
  <c r="C25" i="3"/>
  <c r="C24" i="3"/>
  <c r="C15" i="3"/>
  <c r="C23" i="3"/>
  <c r="C21" i="3"/>
  <c r="F8" i="4"/>
  <c r="B8" i="4"/>
  <c r="H194" i="8"/>
  <c r="I199" i="8"/>
  <c r="G194" i="8"/>
  <c r="G197" i="8" s="1"/>
  <c r="G202" i="8"/>
  <c r="I202" i="8" s="1"/>
  <c r="D12" i="4"/>
  <c r="D23" i="4"/>
  <c r="D19" i="4"/>
  <c r="D16" i="4"/>
  <c r="D14" i="4"/>
  <c r="D11" i="4"/>
  <c r="D9" i="4"/>
  <c r="K17" i="4"/>
  <c r="E17" i="4" s="1"/>
  <c r="D17" i="4"/>
  <c r="D21" i="4"/>
  <c r="D24" i="4"/>
  <c r="D22" i="4"/>
  <c r="D15" i="4"/>
  <c r="D13" i="4"/>
  <c r="D20" i="4"/>
  <c r="K18" i="4"/>
  <c r="E18" i="4" s="1"/>
  <c r="VC30" i="2"/>
  <c r="VC37" i="2" s="1"/>
  <c r="K19" i="4"/>
  <c r="E19" i="4" s="1"/>
  <c r="PG30" i="2"/>
  <c r="PG37" i="2" s="1"/>
  <c r="NQ34" i="2"/>
  <c r="H3" i="2"/>
  <c r="A3" i="18" s="1"/>
  <c r="I13" i="13"/>
  <c r="E13" i="13"/>
  <c r="D361" i="8"/>
  <c r="D352" i="8"/>
  <c r="UG37" i="2" l="1"/>
  <c r="I194" i="8"/>
  <c r="GF34" i="2"/>
  <c r="AC32" i="6"/>
  <c r="DQ31" i="17" s="1"/>
  <c r="DR31" i="17" s="1"/>
  <c r="AC31" i="6"/>
  <c r="DQ30" i="17" s="1"/>
  <c r="AC12" i="6"/>
  <c r="DQ11" i="17" s="1"/>
  <c r="DT11" i="17" s="1"/>
  <c r="T11" i="17" s="1"/>
  <c r="AC13" i="6"/>
  <c r="DQ12" i="17" s="1"/>
  <c r="DT12" i="17" s="1"/>
  <c r="T12" i="17" s="1"/>
  <c r="AC14" i="6"/>
  <c r="DQ13" i="17" s="1"/>
  <c r="DT13" i="17" s="1"/>
  <c r="T13" i="17" s="1"/>
  <c r="AC15" i="6"/>
  <c r="DQ14" i="17" s="1"/>
  <c r="DT14" i="17" s="1"/>
  <c r="T14" i="17" s="1"/>
  <c r="AC16" i="6"/>
  <c r="DQ15" i="17" s="1"/>
  <c r="DT15" i="17" s="1"/>
  <c r="T15" i="17" s="1"/>
  <c r="AC17" i="6"/>
  <c r="DQ16" i="17" s="1"/>
  <c r="DT16" i="17" s="1"/>
  <c r="T16" i="17" s="1"/>
  <c r="AC18" i="6"/>
  <c r="DQ17" i="17" s="1"/>
  <c r="DT17" i="17" s="1"/>
  <c r="AC19" i="6"/>
  <c r="DQ18" i="17" s="1"/>
  <c r="DT18" i="17" s="1"/>
  <c r="T18" i="17" s="1"/>
  <c r="AC20" i="6"/>
  <c r="DQ19" i="17" s="1"/>
  <c r="DT19" i="17" s="1"/>
  <c r="T19" i="17" s="1"/>
  <c r="AC21" i="6"/>
  <c r="DQ20" i="17" s="1"/>
  <c r="DT20" i="17" s="1"/>
  <c r="T20" i="17" s="1"/>
  <c r="AC22" i="6"/>
  <c r="DQ21" i="17" s="1"/>
  <c r="DT21" i="17" s="1"/>
  <c r="T21" i="17" s="1"/>
  <c r="AC23" i="6"/>
  <c r="DQ22" i="17" s="1"/>
  <c r="DT22" i="17" s="1"/>
  <c r="T22" i="17" s="1"/>
  <c r="AC24" i="6"/>
  <c r="DQ23" i="17" s="1"/>
  <c r="DT23" i="17" s="1"/>
  <c r="T23" i="17" s="1"/>
  <c r="AC25" i="6"/>
  <c r="DQ24" i="17" s="1"/>
  <c r="DT24" i="17" s="1"/>
  <c r="T24" i="17" s="1"/>
  <c r="AC26" i="6"/>
  <c r="DQ25" i="17" s="1"/>
  <c r="DT25" i="17" s="1"/>
  <c r="T25" i="17" s="1"/>
  <c r="AC27" i="6"/>
  <c r="DQ26" i="17" s="1"/>
  <c r="DT26" i="17" s="1"/>
  <c r="T26" i="17" s="1"/>
  <c r="AC28" i="6"/>
  <c r="DQ27" i="17" s="1"/>
  <c r="DT27" i="17" s="1"/>
  <c r="T27" i="17" s="1"/>
  <c r="AC11" i="6"/>
  <c r="DQ10" i="17" s="1"/>
  <c r="FW16" i="2"/>
  <c r="GE16" i="2" s="1"/>
  <c r="GC16" i="2" s="1"/>
  <c r="FW18" i="2"/>
  <c r="GE18" i="2" s="1"/>
  <c r="GC18" i="2" s="1"/>
  <c r="FW20" i="2"/>
  <c r="GE20" i="2" s="1"/>
  <c r="GC20" i="2" s="1"/>
  <c r="FW22" i="2"/>
  <c r="GE22" i="2" s="1"/>
  <c r="GC22" i="2" s="1"/>
  <c r="FW24" i="2"/>
  <c r="GE24" i="2" s="1"/>
  <c r="GC24" i="2" s="1"/>
  <c r="FW26" i="2"/>
  <c r="GE26" i="2" s="1"/>
  <c r="GC26" i="2" s="1"/>
  <c r="FW28" i="2"/>
  <c r="GE28" i="2" s="1"/>
  <c r="GC28" i="2" s="1"/>
  <c r="FW12" i="2"/>
  <c r="GE12" i="2" s="1"/>
  <c r="GC12" i="2" s="1"/>
  <c r="GB34" i="2"/>
  <c r="GA34" i="2"/>
  <c r="FZ33" i="2"/>
  <c r="FW33" i="2"/>
  <c r="FZ32" i="2"/>
  <c r="FW32" i="2"/>
  <c r="FX34" i="2"/>
  <c r="GB30" i="2"/>
  <c r="GA30" i="2"/>
  <c r="FZ29" i="2"/>
  <c r="GF29" i="2" s="1"/>
  <c r="FZ28" i="2"/>
  <c r="FZ27" i="2"/>
  <c r="GF27" i="2" s="1"/>
  <c r="GD27" i="2" s="1"/>
  <c r="FZ26" i="2"/>
  <c r="FZ25" i="2"/>
  <c r="GF25" i="2" s="1"/>
  <c r="FZ24" i="2"/>
  <c r="FZ23" i="2"/>
  <c r="GF23" i="2" s="1"/>
  <c r="GD23" i="2" s="1"/>
  <c r="FZ22" i="2"/>
  <c r="FZ21" i="2"/>
  <c r="GF21" i="2" s="1"/>
  <c r="FZ20" i="2"/>
  <c r="FZ19" i="2"/>
  <c r="GF19" i="2" s="1"/>
  <c r="FZ18" i="2"/>
  <c r="FZ17" i="2"/>
  <c r="GF17" i="2" s="1"/>
  <c r="FZ16" i="2"/>
  <c r="FZ15" i="2"/>
  <c r="GF15" i="2" s="1"/>
  <c r="FZ14" i="2"/>
  <c r="FZ13" i="2"/>
  <c r="GF13" i="2" s="1"/>
  <c r="FZ12" i="2"/>
  <c r="GF12" i="2" s="1"/>
  <c r="GD12" i="2" s="1"/>
  <c r="I20" i="17" l="1"/>
  <c r="I12" i="17"/>
  <c r="I25" i="17"/>
  <c r="I26" i="17"/>
  <c r="I22" i="17"/>
  <c r="I18" i="17"/>
  <c r="I14" i="17"/>
  <c r="I24" i="17"/>
  <c r="I16" i="17"/>
  <c r="I21" i="17"/>
  <c r="I13" i="17"/>
  <c r="I27" i="17"/>
  <c r="I23" i="17"/>
  <c r="I19" i="17"/>
  <c r="I15" i="17"/>
  <c r="I11" i="17"/>
  <c r="DT10" i="17"/>
  <c r="T10" i="17" s="1"/>
  <c r="DQ28" i="17"/>
  <c r="DQ32" i="17"/>
  <c r="DR30" i="17"/>
  <c r="DR32" i="17" s="1"/>
  <c r="DR35" i="17" s="1"/>
  <c r="FW34" i="2"/>
  <c r="GB37" i="2"/>
  <c r="GF28" i="2"/>
  <c r="GD28" i="2" s="1"/>
  <c r="GF26" i="2"/>
  <c r="GD26" i="2" s="1"/>
  <c r="GF24" i="2"/>
  <c r="GD24" i="2" s="1"/>
  <c r="GF22" i="2"/>
  <c r="GD22" i="2" s="1"/>
  <c r="GF20" i="2"/>
  <c r="GD20" i="2" s="1"/>
  <c r="GF18" i="2"/>
  <c r="GF16" i="2"/>
  <c r="GD16" i="2" s="1"/>
  <c r="GF14" i="2"/>
  <c r="GD14" i="2" s="1"/>
  <c r="GD29" i="2"/>
  <c r="GD25" i="2"/>
  <c r="GD21" i="2"/>
  <c r="GD19" i="2"/>
  <c r="GD17" i="2"/>
  <c r="GD15" i="2"/>
  <c r="GD13" i="2"/>
  <c r="FW29" i="2"/>
  <c r="GE29" i="2" s="1"/>
  <c r="GC29" i="2" s="1"/>
  <c r="FW27" i="2"/>
  <c r="GE27" i="2" s="1"/>
  <c r="GC27" i="2" s="1"/>
  <c r="FW23" i="2"/>
  <c r="GE23" i="2" s="1"/>
  <c r="GC23" i="2" s="1"/>
  <c r="FW21" i="2"/>
  <c r="GE21" i="2" s="1"/>
  <c r="GC21" i="2" s="1"/>
  <c r="FW19" i="2"/>
  <c r="GE19" i="2" s="1"/>
  <c r="GC19" i="2" s="1"/>
  <c r="FW17" i="2"/>
  <c r="GE17" i="2" s="1"/>
  <c r="GC17" i="2" s="1"/>
  <c r="FW15" i="2"/>
  <c r="GE15" i="2" s="1"/>
  <c r="GC15" i="2" s="1"/>
  <c r="FW13" i="2"/>
  <c r="GE13" i="2" s="1"/>
  <c r="GC13" i="2" s="1"/>
  <c r="FW25" i="2"/>
  <c r="GE25" i="2" s="1"/>
  <c r="GC25" i="2" s="1"/>
  <c r="GE34" i="2"/>
  <c r="GD34" i="2"/>
  <c r="GC34" i="2"/>
  <c r="FZ30" i="2"/>
  <c r="GA37" i="2"/>
  <c r="FZ34" i="2"/>
  <c r="FY34" i="2"/>
  <c r="AE26" i="4"/>
  <c r="AA26" i="4"/>
  <c r="Y36" i="3" s="1"/>
  <c r="AC8" i="4"/>
  <c r="DQ35" i="17" l="1"/>
  <c r="DT28" i="17"/>
  <c r="DT35" i="17" s="1"/>
  <c r="GF30" i="2"/>
  <c r="GF37" i="2" s="1"/>
  <c r="GD18" i="2"/>
  <c r="GD30" i="2" s="1"/>
  <c r="GD37" i="2" s="1"/>
  <c r="FZ37" i="2"/>
  <c r="AR51" i="1" s="1"/>
  <c r="Z26" i="4"/>
  <c r="X36" i="3" s="1"/>
  <c r="AD26" i="4"/>
  <c r="AC26" i="4"/>
  <c r="AB8" i="4"/>
  <c r="DQ36" i="17" l="1"/>
  <c r="I10" i="17"/>
  <c r="AB26" i="4"/>
  <c r="D452" i="8" l="1"/>
  <c r="D448" i="8" s="1"/>
  <c r="F390" i="8"/>
  <c r="D390" i="8"/>
  <c r="E331" i="8"/>
  <c r="G331" i="8" s="1"/>
  <c r="I331" i="8" s="1"/>
  <c r="D332" i="8"/>
  <c r="D333" i="8" s="1"/>
  <c r="F332" i="8"/>
  <c r="D321" i="8"/>
  <c r="E299" i="8"/>
  <c r="D429" i="8"/>
  <c r="D426" i="8"/>
  <c r="D405" i="8"/>
  <c r="D402" i="8"/>
  <c r="D212" i="8"/>
  <c r="G210" i="8"/>
  <c r="G205" i="8" l="1"/>
  <c r="I205" i="8" s="1"/>
  <c r="C6" i="16"/>
  <c r="H331" i="8"/>
  <c r="E332" i="8"/>
  <c r="G332" i="8" s="1"/>
  <c r="I332" i="8" s="1"/>
  <c r="F333" i="8"/>
  <c r="C26" i="3"/>
  <c r="F6" i="16" l="1"/>
  <c r="E333" i="8"/>
  <c r="H332" i="8"/>
  <c r="G333" i="8" l="1"/>
  <c r="I333" i="8" s="1"/>
  <c r="H333" i="8"/>
  <c r="F385" i="8"/>
  <c r="F386" i="8"/>
  <c r="D386" i="8"/>
  <c r="D385" i="8"/>
  <c r="PD34" i="2" l="1"/>
  <c r="PC34" i="2"/>
  <c r="PD29" i="2"/>
  <c r="PC29" i="2"/>
  <c r="PD28" i="2"/>
  <c r="PC28" i="2"/>
  <c r="PD27" i="2"/>
  <c r="PC27" i="2"/>
  <c r="PD26" i="2"/>
  <c r="PC26" i="2"/>
  <c r="PD25" i="2"/>
  <c r="PC25" i="2"/>
  <c r="PD24" i="2"/>
  <c r="PC24" i="2"/>
  <c r="PD23" i="2"/>
  <c r="PC23" i="2"/>
  <c r="PD22" i="2"/>
  <c r="PC22" i="2"/>
  <c r="PD21" i="2"/>
  <c r="PC21" i="2"/>
  <c r="PD20" i="2"/>
  <c r="PC20" i="2"/>
  <c r="PD19" i="2"/>
  <c r="PC19" i="2"/>
  <c r="PD18" i="2"/>
  <c r="PC18" i="2"/>
  <c r="PD17" i="2"/>
  <c r="PC17" i="2"/>
  <c r="PD16" i="2"/>
  <c r="PC16" i="2"/>
  <c r="PD15" i="2"/>
  <c r="PC15" i="2"/>
  <c r="PD14" i="2"/>
  <c r="PC14" i="2"/>
  <c r="PD13" i="2"/>
  <c r="PC13" i="2"/>
  <c r="PD12" i="2"/>
  <c r="PC12" i="2"/>
  <c r="OW34" i="2"/>
  <c r="OV34" i="2"/>
  <c r="OV13" i="2"/>
  <c r="OV15" i="2"/>
  <c r="OV17" i="2"/>
  <c r="OV19" i="2"/>
  <c r="OV21" i="2"/>
  <c r="OV23" i="2"/>
  <c r="OV25" i="2"/>
  <c r="OV27" i="2"/>
  <c r="OV29" i="2"/>
  <c r="OW12" i="2"/>
  <c r="PC30" i="2" l="1"/>
  <c r="PC37" i="2" s="1"/>
  <c r="OW28" i="2"/>
  <c r="OW14" i="2"/>
  <c r="OV12" i="2"/>
  <c r="OW26" i="2"/>
  <c r="OW24" i="2"/>
  <c r="OW22" i="2"/>
  <c r="OW20" i="2"/>
  <c r="OW18" i="2"/>
  <c r="OW16" i="2"/>
  <c r="PD30" i="2"/>
  <c r="PD37" i="2" s="1"/>
  <c r="OW29" i="2"/>
  <c r="OW27" i="2"/>
  <c r="OW25" i="2"/>
  <c r="OW23" i="2"/>
  <c r="OW21" i="2"/>
  <c r="OW19" i="2"/>
  <c r="OW17" i="2"/>
  <c r="OW15" i="2"/>
  <c r="OW13" i="2"/>
  <c r="OV28" i="2"/>
  <c r="OV26" i="2"/>
  <c r="OV24" i="2"/>
  <c r="OV22" i="2"/>
  <c r="OV20" i="2"/>
  <c r="OV18" i="2"/>
  <c r="OV16" i="2"/>
  <c r="OV14" i="2"/>
  <c r="OV30" i="2" l="1"/>
  <c r="OV37" i="2" s="1"/>
  <c r="OW30" i="2"/>
  <c r="OW37" i="2" s="1"/>
  <c r="E442" i="8" l="1"/>
  <c r="F442" i="8"/>
  <c r="G442" i="8"/>
  <c r="D442" i="8"/>
  <c r="D440" i="8"/>
  <c r="BE32" i="6" l="1"/>
  <c r="HI31" i="17" s="1"/>
  <c r="HJ31" i="17" s="1"/>
  <c r="BD32" i="6"/>
  <c r="HE31" i="17" s="1"/>
  <c r="HF31" i="17" s="1"/>
  <c r="BE31" i="6"/>
  <c r="HI30" i="17" s="1"/>
  <c r="BD31" i="6"/>
  <c r="HE30" i="17" s="1"/>
  <c r="BE12" i="6"/>
  <c r="HI11" i="17" s="1"/>
  <c r="HK11" i="17" s="1"/>
  <c r="BE13" i="6"/>
  <c r="HI12" i="17" s="1"/>
  <c r="HK12" i="17" s="1"/>
  <c r="BE14" i="6"/>
  <c r="HI13" i="17" s="1"/>
  <c r="HK13" i="17" s="1"/>
  <c r="BE15" i="6"/>
  <c r="HI14" i="17" s="1"/>
  <c r="HK14" i="17" s="1"/>
  <c r="BE16" i="6"/>
  <c r="HI15" i="17" s="1"/>
  <c r="HK15" i="17" s="1"/>
  <c r="BE17" i="6"/>
  <c r="HI16" i="17" s="1"/>
  <c r="HK16" i="17" s="1"/>
  <c r="BE18" i="6"/>
  <c r="HI17" i="17" s="1"/>
  <c r="HK17" i="17" s="1"/>
  <c r="BE19" i="6"/>
  <c r="HI18" i="17" s="1"/>
  <c r="HK18" i="17" s="1"/>
  <c r="BE20" i="6"/>
  <c r="HI19" i="17" s="1"/>
  <c r="HK19" i="17" s="1"/>
  <c r="BE21" i="6"/>
  <c r="HI20" i="17" s="1"/>
  <c r="HK20" i="17" s="1"/>
  <c r="BE22" i="6"/>
  <c r="HI21" i="17" s="1"/>
  <c r="HK21" i="17" s="1"/>
  <c r="BE23" i="6"/>
  <c r="HI22" i="17" s="1"/>
  <c r="HK22" i="17" s="1"/>
  <c r="BE24" i="6"/>
  <c r="HI23" i="17" s="1"/>
  <c r="HK23" i="17" s="1"/>
  <c r="BE25" i="6"/>
  <c r="HI24" i="17" s="1"/>
  <c r="HK24" i="17" s="1"/>
  <c r="BE26" i="6"/>
  <c r="HI25" i="17" s="1"/>
  <c r="HK25" i="17" s="1"/>
  <c r="BE27" i="6"/>
  <c r="HI26" i="17" s="1"/>
  <c r="HK26" i="17" s="1"/>
  <c r="BE28" i="6"/>
  <c r="HI27" i="17" s="1"/>
  <c r="HK27" i="17" s="1"/>
  <c r="BE11" i="6"/>
  <c r="HI10" i="17" s="1"/>
  <c r="HK10" i="17" s="1"/>
  <c r="BD12" i="6"/>
  <c r="HE11" i="17" s="1"/>
  <c r="HG11" i="17" s="1"/>
  <c r="BD13" i="6"/>
  <c r="HE12" i="17" s="1"/>
  <c r="HG12" i="17" s="1"/>
  <c r="BD14" i="6"/>
  <c r="HE13" i="17" s="1"/>
  <c r="HG13" i="17" s="1"/>
  <c r="BD15" i="6"/>
  <c r="HE14" i="17" s="1"/>
  <c r="HG14" i="17" s="1"/>
  <c r="BD16" i="6"/>
  <c r="HE15" i="17" s="1"/>
  <c r="HG15" i="17" s="1"/>
  <c r="BD17" i="6"/>
  <c r="HE16" i="17" s="1"/>
  <c r="HG16" i="17" s="1"/>
  <c r="BD18" i="6"/>
  <c r="HE17" i="17" s="1"/>
  <c r="HG17" i="17" s="1"/>
  <c r="BD19" i="6"/>
  <c r="HE18" i="17" s="1"/>
  <c r="HG18" i="17" s="1"/>
  <c r="BD20" i="6"/>
  <c r="HE19" i="17" s="1"/>
  <c r="HG19" i="17" s="1"/>
  <c r="BD21" i="6"/>
  <c r="HE20" i="17" s="1"/>
  <c r="HG20" i="17" s="1"/>
  <c r="BD22" i="6"/>
  <c r="HE21" i="17" s="1"/>
  <c r="HG21" i="17" s="1"/>
  <c r="BD23" i="6"/>
  <c r="HE22" i="17" s="1"/>
  <c r="HG22" i="17" s="1"/>
  <c r="BD24" i="6"/>
  <c r="HE23" i="17" s="1"/>
  <c r="HG23" i="17" s="1"/>
  <c r="BD25" i="6"/>
  <c r="HE24" i="17" s="1"/>
  <c r="HG24" i="17" s="1"/>
  <c r="BD26" i="6"/>
  <c r="HE25" i="17" s="1"/>
  <c r="HG25" i="17" s="1"/>
  <c r="BD27" i="6"/>
  <c r="HE26" i="17" s="1"/>
  <c r="HG26" i="17" s="1"/>
  <c r="BD28" i="6"/>
  <c r="HE27" i="17" s="1"/>
  <c r="HG27" i="17" s="1"/>
  <c r="BD11" i="6"/>
  <c r="HE10" i="17" s="1"/>
  <c r="HG10" i="17" s="1"/>
  <c r="HK28" i="17" l="1"/>
  <c r="HK35" i="17" s="1"/>
  <c r="HG28" i="17"/>
  <c r="HG35" i="17" s="1"/>
  <c r="HI28" i="17"/>
  <c r="HI32" i="17"/>
  <c r="HJ30" i="17"/>
  <c r="HJ32" i="17" s="1"/>
  <c r="HJ35" i="17" s="1"/>
  <c r="HE32" i="17"/>
  <c r="HF30" i="17"/>
  <c r="HF32" i="17" s="1"/>
  <c r="HF35" i="17" s="1"/>
  <c r="HE28" i="17"/>
  <c r="PF34" i="2"/>
  <c r="PE34" i="2"/>
  <c r="PB34" i="2"/>
  <c r="PA34" i="2"/>
  <c r="PF29" i="2"/>
  <c r="PE29" i="2"/>
  <c r="PB29" i="2"/>
  <c r="PA29" i="2"/>
  <c r="PF28" i="2"/>
  <c r="PE28" i="2"/>
  <c r="PB28" i="2"/>
  <c r="PA28" i="2"/>
  <c r="PF27" i="2"/>
  <c r="PE27" i="2"/>
  <c r="PB27" i="2"/>
  <c r="PA27" i="2"/>
  <c r="PF26" i="2"/>
  <c r="PE26" i="2"/>
  <c r="PB26" i="2"/>
  <c r="PA26" i="2"/>
  <c r="PF25" i="2"/>
  <c r="PE25" i="2"/>
  <c r="PB25" i="2"/>
  <c r="PA25" i="2"/>
  <c r="PF24" i="2"/>
  <c r="PE24" i="2"/>
  <c r="PB24" i="2"/>
  <c r="PA24" i="2"/>
  <c r="PF23" i="2"/>
  <c r="PE23" i="2"/>
  <c r="PB23" i="2"/>
  <c r="PA23" i="2"/>
  <c r="PF22" i="2"/>
  <c r="PE22" i="2"/>
  <c r="PB22" i="2"/>
  <c r="PA22" i="2"/>
  <c r="PF21" i="2"/>
  <c r="PE21" i="2"/>
  <c r="PB21" i="2"/>
  <c r="PA21" i="2"/>
  <c r="PF20" i="2"/>
  <c r="PE20" i="2"/>
  <c r="PB20" i="2"/>
  <c r="PA20" i="2"/>
  <c r="PF19" i="2"/>
  <c r="PE19" i="2"/>
  <c r="PB19" i="2"/>
  <c r="PA19" i="2"/>
  <c r="PF18" i="2"/>
  <c r="PE18" i="2"/>
  <c r="PB18" i="2"/>
  <c r="PA18" i="2"/>
  <c r="PF17" i="2"/>
  <c r="PE17" i="2"/>
  <c r="PB17" i="2"/>
  <c r="PA17" i="2"/>
  <c r="PF16" i="2"/>
  <c r="PE16" i="2"/>
  <c r="PB16" i="2"/>
  <c r="PA16" i="2"/>
  <c r="PF15" i="2"/>
  <c r="PE15" i="2"/>
  <c r="PB15" i="2"/>
  <c r="PA15" i="2"/>
  <c r="PF14" i="2"/>
  <c r="PE14" i="2"/>
  <c r="PB14" i="2"/>
  <c r="PA14" i="2"/>
  <c r="PF13" i="2"/>
  <c r="PE13" i="2"/>
  <c r="PB13" i="2"/>
  <c r="PA13" i="2"/>
  <c r="PF12" i="2"/>
  <c r="PE12" i="2"/>
  <c r="PB12" i="2"/>
  <c r="PB30" i="2" s="1"/>
  <c r="PB37" i="2" s="1"/>
  <c r="PA12" i="2"/>
  <c r="OR34" i="2"/>
  <c r="OQ34" i="2"/>
  <c r="ON34" i="2"/>
  <c r="OM34" i="2"/>
  <c r="OK34" i="2"/>
  <c r="OJ34" i="2"/>
  <c r="OG34" i="2"/>
  <c r="OF34" i="2"/>
  <c r="OR30" i="2"/>
  <c r="OQ30" i="2"/>
  <c r="ON30" i="2"/>
  <c r="OM30" i="2"/>
  <c r="OK30" i="2"/>
  <c r="OJ30" i="2"/>
  <c r="OG30" i="2"/>
  <c r="OU13" i="2"/>
  <c r="OX13" i="2"/>
  <c r="OY13" i="2"/>
  <c r="IM11" i="17" s="1"/>
  <c r="OT14" i="2"/>
  <c r="OU14" i="2"/>
  <c r="OX14" i="2"/>
  <c r="OY14" i="2"/>
  <c r="IM12" i="17" s="1"/>
  <c r="OT15" i="2"/>
  <c r="OU15" i="2"/>
  <c r="OX15" i="2"/>
  <c r="OY15" i="2"/>
  <c r="IM13" i="17" s="1"/>
  <c r="OU16" i="2"/>
  <c r="OX16" i="2"/>
  <c r="OY16" i="2"/>
  <c r="IM14" i="17" s="1"/>
  <c r="OT17" i="2"/>
  <c r="OU17" i="2"/>
  <c r="OX17" i="2"/>
  <c r="OY17" i="2"/>
  <c r="IM15" i="17" s="1"/>
  <c r="OU18" i="2"/>
  <c r="OX18" i="2"/>
  <c r="OY18" i="2"/>
  <c r="IM16" i="17" s="1"/>
  <c r="OT19" i="2"/>
  <c r="OU19" i="2"/>
  <c r="OX19" i="2"/>
  <c r="OY19" i="2"/>
  <c r="IM17" i="17" s="1"/>
  <c r="OU20" i="2"/>
  <c r="OX20" i="2"/>
  <c r="OY20" i="2"/>
  <c r="IM18" i="17" s="1"/>
  <c r="OT21" i="2"/>
  <c r="OU21" i="2"/>
  <c r="OX21" i="2"/>
  <c r="OY21" i="2"/>
  <c r="IM19" i="17" s="1"/>
  <c r="OU22" i="2"/>
  <c r="OX22" i="2"/>
  <c r="OY22" i="2"/>
  <c r="IM20" i="17" s="1"/>
  <c r="OT23" i="2"/>
  <c r="OU23" i="2"/>
  <c r="OX23" i="2"/>
  <c r="OY23" i="2"/>
  <c r="IM21" i="17" s="1"/>
  <c r="OT24" i="2"/>
  <c r="OU24" i="2"/>
  <c r="OX24" i="2"/>
  <c r="OY24" i="2"/>
  <c r="IM22" i="17" s="1"/>
  <c r="OU25" i="2"/>
  <c r="OX25" i="2"/>
  <c r="OY25" i="2"/>
  <c r="IM23" i="17" s="1"/>
  <c r="OT26" i="2"/>
  <c r="OU26" i="2"/>
  <c r="OX26" i="2"/>
  <c r="OY26" i="2"/>
  <c r="IM24" i="17" s="1"/>
  <c r="OT27" i="2"/>
  <c r="OU27" i="2"/>
  <c r="OX27" i="2"/>
  <c r="OY27" i="2"/>
  <c r="IM25" i="17" s="1"/>
  <c r="OT28" i="2"/>
  <c r="OU28" i="2"/>
  <c r="OX28" i="2"/>
  <c r="OY28" i="2"/>
  <c r="IM26" i="17" s="1"/>
  <c r="OU29" i="2"/>
  <c r="OX29" i="2"/>
  <c r="OY29" i="2"/>
  <c r="IM27" i="17" s="1"/>
  <c r="OY12" i="2"/>
  <c r="IM10" i="17" s="1"/>
  <c r="OX12" i="2"/>
  <c r="OU12" i="2"/>
  <c r="OT12" i="2"/>
  <c r="OY34" i="2"/>
  <c r="OX34" i="2"/>
  <c r="OU34" i="2"/>
  <c r="OT34" i="2"/>
  <c r="PT34" i="2"/>
  <c r="PS34" i="2"/>
  <c r="PT30" i="2"/>
  <c r="PS30" i="2"/>
  <c r="PM34" i="2"/>
  <c r="PL34" i="2"/>
  <c r="PI34" i="2"/>
  <c r="PH34" i="2"/>
  <c r="PP34" i="2"/>
  <c r="PO34" i="2"/>
  <c r="PP30" i="2"/>
  <c r="PO30" i="2"/>
  <c r="BA32" i="6"/>
  <c r="HQ31" i="17" s="1"/>
  <c r="HR31" i="17" s="1"/>
  <c r="AZ32" i="6"/>
  <c r="HM31" i="17" s="1"/>
  <c r="HN31" i="17" s="1"/>
  <c r="BA31" i="6"/>
  <c r="HQ30" i="17" s="1"/>
  <c r="AZ31" i="6"/>
  <c r="HM30" i="17" s="1"/>
  <c r="BA12" i="6"/>
  <c r="HQ11" i="17" s="1"/>
  <c r="HS11" i="17" s="1"/>
  <c r="BA13" i="6"/>
  <c r="HQ12" i="17" s="1"/>
  <c r="HS12" i="17" s="1"/>
  <c r="BA14" i="6"/>
  <c r="HQ13" i="17" s="1"/>
  <c r="HS13" i="17" s="1"/>
  <c r="BA15" i="6"/>
  <c r="HQ14" i="17" s="1"/>
  <c r="HS14" i="17" s="1"/>
  <c r="BA16" i="6"/>
  <c r="HQ15" i="17" s="1"/>
  <c r="HS15" i="17" s="1"/>
  <c r="BA17" i="6"/>
  <c r="HQ16" i="17" s="1"/>
  <c r="HS16" i="17" s="1"/>
  <c r="BA18" i="6"/>
  <c r="HQ17" i="17" s="1"/>
  <c r="HS17" i="17" s="1"/>
  <c r="BA19" i="6"/>
  <c r="HQ18" i="17" s="1"/>
  <c r="HS18" i="17" s="1"/>
  <c r="BA20" i="6"/>
  <c r="HQ19" i="17" s="1"/>
  <c r="HS19" i="17" s="1"/>
  <c r="BA21" i="6"/>
  <c r="HQ20" i="17" s="1"/>
  <c r="HS20" i="17" s="1"/>
  <c r="BA22" i="6"/>
  <c r="HQ21" i="17" s="1"/>
  <c r="HS21" i="17" s="1"/>
  <c r="BA23" i="6"/>
  <c r="HQ22" i="17" s="1"/>
  <c r="HS22" i="17" s="1"/>
  <c r="BA24" i="6"/>
  <c r="HQ23" i="17" s="1"/>
  <c r="HS23" i="17" s="1"/>
  <c r="BA25" i="6"/>
  <c r="HQ24" i="17" s="1"/>
  <c r="HS24" i="17" s="1"/>
  <c r="BA26" i="6"/>
  <c r="HQ25" i="17" s="1"/>
  <c r="HS25" i="17" s="1"/>
  <c r="BA27" i="6"/>
  <c r="HQ26" i="17" s="1"/>
  <c r="HS26" i="17" s="1"/>
  <c r="BA28" i="6"/>
  <c r="HQ27" i="17" s="1"/>
  <c r="HS27" i="17" s="1"/>
  <c r="BA11" i="6"/>
  <c r="MX29" i="2"/>
  <c r="MX28" i="2"/>
  <c r="MX27" i="2"/>
  <c r="MX26" i="2"/>
  <c r="MX25" i="2"/>
  <c r="MX24" i="2"/>
  <c r="MX23" i="2"/>
  <c r="MX22" i="2"/>
  <c r="MX21" i="2"/>
  <c r="MX20" i="2"/>
  <c r="MX19" i="2"/>
  <c r="MX18" i="2"/>
  <c r="MX17" i="2"/>
  <c r="MX16" i="2"/>
  <c r="MX15" i="2"/>
  <c r="MX14" i="2"/>
  <c r="MX13" i="2"/>
  <c r="MX12" i="2"/>
  <c r="MW29" i="2"/>
  <c r="MV29" i="2" s="1"/>
  <c r="MW28" i="2"/>
  <c r="MW27" i="2"/>
  <c r="MV27" i="2" s="1"/>
  <c r="MW26" i="2"/>
  <c r="MW25" i="2"/>
  <c r="MV25" i="2" s="1"/>
  <c r="MW24" i="2"/>
  <c r="MV24" i="2" s="1"/>
  <c r="MW23" i="2"/>
  <c r="MV23" i="2" s="1"/>
  <c r="MW22" i="2"/>
  <c r="MW21" i="2"/>
  <c r="MV21" i="2" s="1"/>
  <c r="MW20" i="2"/>
  <c r="MV20" i="2" s="1"/>
  <c r="MW19" i="2"/>
  <c r="MV19" i="2" s="1"/>
  <c r="MW18" i="2"/>
  <c r="MW17" i="2"/>
  <c r="MV17" i="2" s="1"/>
  <c r="MW16" i="2"/>
  <c r="MW15" i="2"/>
  <c r="MV15" i="2" s="1"/>
  <c r="MW14" i="2"/>
  <c r="MW13" i="2"/>
  <c r="MV13" i="2" s="1"/>
  <c r="MW12" i="2"/>
  <c r="MV12" i="2" s="1"/>
  <c r="MR13" i="2"/>
  <c r="AZ12" i="6"/>
  <c r="HM11" i="17" s="1"/>
  <c r="HO11" i="17" s="1"/>
  <c r="MR14" i="2"/>
  <c r="AZ13" i="6"/>
  <c r="HM12" i="17" s="1"/>
  <c r="HO12" i="17" s="1"/>
  <c r="MR17" i="2"/>
  <c r="MR18" i="2"/>
  <c r="MR21" i="2"/>
  <c r="MR22" i="2"/>
  <c r="AZ21" i="6"/>
  <c r="HM20" i="17" s="1"/>
  <c r="HO20" i="17" s="1"/>
  <c r="AZ23" i="6"/>
  <c r="HM22" i="17" s="1"/>
  <c r="HO22" i="17" s="1"/>
  <c r="MR25" i="2"/>
  <c r="MR26" i="2"/>
  <c r="AZ25" i="6"/>
  <c r="HM24" i="17" s="1"/>
  <c r="HO24" i="17" s="1"/>
  <c r="AZ27" i="6"/>
  <c r="HM26" i="17" s="1"/>
  <c r="HO26" i="17" s="1"/>
  <c r="MR29" i="2"/>
  <c r="MN34" i="2"/>
  <c r="MM34" i="2"/>
  <c r="MI34" i="2"/>
  <c r="MH34" i="2"/>
  <c r="MG34" i="2"/>
  <c r="MN30" i="2"/>
  <c r="MM30" i="2"/>
  <c r="MX34" i="2"/>
  <c r="MW34" i="2"/>
  <c r="MS34" i="2"/>
  <c r="MR34" i="2"/>
  <c r="NC34" i="2"/>
  <c r="NB34" i="2"/>
  <c r="NH34" i="2"/>
  <c r="NG34" i="2"/>
  <c r="NH30" i="2"/>
  <c r="NG30" i="2"/>
  <c r="BK33" i="6"/>
  <c r="BK29" i="6"/>
  <c r="MV28" i="2" l="1"/>
  <c r="MV16" i="2"/>
  <c r="MV14" i="2"/>
  <c r="MV18" i="2"/>
  <c r="MV22" i="2"/>
  <c r="MV26" i="2"/>
  <c r="HQ10" i="17"/>
  <c r="HS10" i="17" s="1"/>
  <c r="OZ12" i="2"/>
  <c r="OZ13" i="2"/>
  <c r="OZ14" i="2"/>
  <c r="OZ15" i="2"/>
  <c r="OZ16" i="2"/>
  <c r="OZ17" i="2"/>
  <c r="OZ18" i="2"/>
  <c r="OZ19" i="2"/>
  <c r="OZ20" i="2"/>
  <c r="OZ21" i="2"/>
  <c r="OZ22" i="2"/>
  <c r="OZ23" i="2"/>
  <c r="OZ24" i="2"/>
  <c r="OZ25" i="2"/>
  <c r="OZ26" i="2"/>
  <c r="OZ27" i="2"/>
  <c r="OZ28" i="2"/>
  <c r="OZ29" i="2"/>
  <c r="IM28" i="17"/>
  <c r="IM35" i="17" s="1"/>
  <c r="OS24" i="2"/>
  <c r="OS23" i="2"/>
  <c r="OS15" i="2"/>
  <c r="OS14" i="2"/>
  <c r="OS12" i="2"/>
  <c r="OS21" i="2"/>
  <c r="OS19" i="2"/>
  <c r="OS28" i="2"/>
  <c r="OS27" i="2"/>
  <c r="OS26" i="2"/>
  <c r="OS17" i="2"/>
  <c r="PA30" i="2"/>
  <c r="PA37" i="2" s="1"/>
  <c r="HE35" i="17"/>
  <c r="HE36" i="17" s="1"/>
  <c r="HI35" i="17"/>
  <c r="HI36" i="17" s="1"/>
  <c r="HR30" i="17"/>
  <c r="HR32" i="17" s="1"/>
  <c r="HR35" i="17" s="1"/>
  <c r="HQ32" i="17"/>
  <c r="HN30" i="17"/>
  <c r="HN32" i="17" s="1"/>
  <c r="HN35" i="17" s="1"/>
  <c r="HM32" i="17"/>
  <c r="OM37" i="2"/>
  <c r="PF30" i="2"/>
  <c r="PF37" i="2" s="1"/>
  <c r="OR37" i="2"/>
  <c r="NG37" i="2"/>
  <c r="PE30" i="2"/>
  <c r="PE37" i="2" s="1"/>
  <c r="MX30" i="2"/>
  <c r="MX37" i="2" s="1"/>
  <c r="OJ37" i="2"/>
  <c r="PI30" i="2"/>
  <c r="PI37" i="2" s="1"/>
  <c r="NC30" i="2"/>
  <c r="NC37" i="2" s="1"/>
  <c r="NB30" i="2"/>
  <c r="NB37" i="2" s="1"/>
  <c r="BK36" i="6"/>
  <c r="BJ33" i="6"/>
  <c r="PM30" i="2"/>
  <c r="PM37" i="2" s="1"/>
  <c r="OT29" i="2"/>
  <c r="OS29" i="2" s="1"/>
  <c r="OT25" i="2"/>
  <c r="OS25" i="2" s="1"/>
  <c r="OT22" i="2"/>
  <c r="OS22" i="2" s="1"/>
  <c r="OT20" i="2"/>
  <c r="OS20" i="2" s="1"/>
  <c r="OT18" i="2"/>
  <c r="OS18" i="2" s="1"/>
  <c r="OT13" i="2"/>
  <c r="OS13" i="2" s="1"/>
  <c r="PH30" i="2"/>
  <c r="PH37" i="2" s="1"/>
  <c r="PL30" i="2"/>
  <c r="PL37" i="2" s="1"/>
  <c r="OX30" i="2"/>
  <c r="OX37" i="2" s="1"/>
  <c r="OU30" i="2"/>
  <c r="OU37" i="2" s="1"/>
  <c r="OY30" i="2"/>
  <c r="OY37" i="2" s="1"/>
  <c r="NH37" i="2"/>
  <c r="OG37" i="2"/>
  <c r="ON37" i="2"/>
  <c r="ON42" i="2" s="1"/>
  <c r="OK37" i="2"/>
  <c r="OQ37" i="2"/>
  <c r="MN37" i="2"/>
  <c r="MN42" i="2" s="1"/>
  <c r="PO37" i="2"/>
  <c r="PP37" i="2"/>
  <c r="PS37" i="2"/>
  <c r="PT37" i="2"/>
  <c r="MH30" i="2"/>
  <c r="MH37" i="2" s="1"/>
  <c r="E181" i="8" s="1"/>
  <c r="MR27" i="2"/>
  <c r="MR23" i="2"/>
  <c r="MR19" i="2"/>
  <c r="MR15" i="2"/>
  <c r="MS14" i="2"/>
  <c r="MQ14" i="2" s="1"/>
  <c r="MS22" i="2"/>
  <c r="MQ22" i="2" s="1"/>
  <c r="MS26" i="2"/>
  <c r="MQ26" i="2" s="1"/>
  <c r="AZ28" i="6"/>
  <c r="HM27" i="17" s="1"/>
  <c r="HO27" i="17" s="1"/>
  <c r="AZ26" i="6"/>
  <c r="HM25" i="17" s="1"/>
  <c r="HO25" i="17" s="1"/>
  <c r="AZ24" i="6"/>
  <c r="HM23" i="17" s="1"/>
  <c r="HO23" i="17" s="1"/>
  <c r="AZ22" i="6"/>
  <c r="HM21" i="17" s="1"/>
  <c r="HO21" i="17" s="1"/>
  <c r="AZ20" i="6"/>
  <c r="HM19" i="17" s="1"/>
  <c r="HO19" i="17" s="1"/>
  <c r="AZ18" i="6"/>
  <c r="HM17" i="17" s="1"/>
  <c r="HO17" i="17" s="1"/>
  <c r="AZ16" i="6"/>
  <c r="HM15" i="17" s="1"/>
  <c r="HO15" i="17" s="1"/>
  <c r="AZ14" i="6"/>
  <c r="HM13" i="17" s="1"/>
  <c r="HO13" i="17" s="1"/>
  <c r="MR28" i="2"/>
  <c r="MR24" i="2"/>
  <c r="MR16" i="2"/>
  <c r="MS13" i="2"/>
  <c r="MQ13" i="2" s="1"/>
  <c r="MS17" i="2"/>
  <c r="MQ17" i="2" s="1"/>
  <c r="MS21" i="2"/>
  <c r="MQ21" i="2" s="1"/>
  <c r="MS25" i="2"/>
  <c r="MQ25" i="2" s="1"/>
  <c r="MS29" i="2"/>
  <c r="MQ29" i="2" s="1"/>
  <c r="MS24" i="2"/>
  <c r="MS28" i="2"/>
  <c r="MR12" i="2"/>
  <c r="MS15" i="2"/>
  <c r="MS19" i="2"/>
  <c r="MS23" i="2"/>
  <c r="MS27" i="2"/>
  <c r="MW30" i="2"/>
  <c r="MW37" i="2" s="1"/>
  <c r="MM37" i="2"/>
  <c r="BA33" i="6"/>
  <c r="BA29" i="6"/>
  <c r="D472" i="8"/>
  <c r="D133" i="8"/>
  <c r="H471" i="8"/>
  <c r="G471" i="8"/>
  <c r="I471" i="8" s="1"/>
  <c r="D469" i="8"/>
  <c r="H468" i="8"/>
  <c r="G468" i="8"/>
  <c r="I468" i="8" s="1"/>
  <c r="D185" i="8"/>
  <c r="D182" i="8"/>
  <c r="D161" i="8" s="1"/>
  <c r="J181" i="8"/>
  <c r="D158" i="8"/>
  <c r="H132" i="8"/>
  <c r="G132" i="8"/>
  <c r="I132" i="8" s="1"/>
  <c r="D130" i="8"/>
  <c r="H129" i="8"/>
  <c r="G129" i="8"/>
  <c r="I129" i="8" s="1"/>
  <c r="J128" i="8"/>
  <c r="C18" i="16" l="1"/>
  <c r="F18" i="16" s="1"/>
  <c r="J129" i="8"/>
  <c r="MV30" i="2"/>
  <c r="MV37" i="2" s="1"/>
  <c r="HS28" i="17"/>
  <c r="HS35" i="17" s="1"/>
  <c r="MQ28" i="2"/>
  <c r="MQ27" i="2"/>
  <c r="MQ24" i="2"/>
  <c r="MQ19" i="2"/>
  <c r="MQ15" i="2"/>
  <c r="MQ23" i="2"/>
  <c r="HQ28" i="17"/>
  <c r="HQ35" i="17" s="1"/>
  <c r="F128" i="8"/>
  <c r="F130" i="8" s="1"/>
  <c r="OM42" i="2"/>
  <c r="F181" i="8"/>
  <c r="H181" i="8" s="1"/>
  <c r="MM42" i="2"/>
  <c r="C19" i="16"/>
  <c r="F19" i="16" s="1"/>
  <c r="OZ30" i="2"/>
  <c r="OZ37" i="2" s="1"/>
  <c r="OD38" i="2"/>
  <c r="OC38" i="2"/>
  <c r="E182" i="8"/>
  <c r="F131" i="8"/>
  <c r="F133" i="8" s="1"/>
  <c r="C31" i="7"/>
  <c r="C32" i="7"/>
  <c r="F184" i="8"/>
  <c r="F185" i="8" s="1"/>
  <c r="E131" i="8"/>
  <c r="G131" i="8" s="1"/>
  <c r="I131" i="8" s="1"/>
  <c r="B31" i="7"/>
  <c r="MR30" i="2"/>
  <c r="MR37" i="2" s="1"/>
  <c r="BE33" i="6"/>
  <c r="BA36" i="6"/>
  <c r="BE29" i="6"/>
  <c r="AZ33" i="6"/>
  <c r="BD29" i="6"/>
  <c r="BD33" i="6"/>
  <c r="G181" i="8"/>
  <c r="H183" i="8"/>
  <c r="J469" i="8" l="1"/>
  <c r="HQ36" i="17"/>
  <c r="F182" i="8"/>
  <c r="F161" i="8" s="1"/>
  <c r="I18" i="16"/>
  <c r="G18" i="16" s="1"/>
  <c r="F467" i="8"/>
  <c r="C36" i="7"/>
  <c r="F470" i="8"/>
  <c r="F472" i="8" s="1"/>
  <c r="I181" i="8"/>
  <c r="E133" i="8"/>
  <c r="G133" i="8"/>
  <c r="I133" i="8" s="1"/>
  <c r="H131" i="8"/>
  <c r="BE36" i="6"/>
  <c r="BD36" i="6"/>
  <c r="G182" i="8"/>
  <c r="H186" i="8"/>
  <c r="H182" i="8" l="1"/>
  <c r="F469" i="8"/>
  <c r="H133" i="8"/>
  <c r="I182" i="8"/>
  <c r="I183" i="8"/>
  <c r="I186" i="8"/>
  <c r="I19" i="16" l="1"/>
  <c r="G19" i="16" s="1"/>
  <c r="D45" i="8"/>
  <c r="H46" i="8"/>
  <c r="I46" i="8"/>
  <c r="D155" i="8"/>
  <c r="G435" i="8" l="1"/>
  <c r="D434" i="8"/>
  <c r="G432" i="8"/>
  <c r="D431" i="8"/>
  <c r="D346" i="8"/>
  <c r="G241" i="8"/>
  <c r="G242" i="8"/>
  <c r="G238" i="8"/>
  <c r="G237" i="8"/>
  <c r="D243" i="8"/>
  <c r="D220" i="8"/>
  <c r="D216" i="8"/>
  <c r="D168" i="8"/>
  <c r="D180" i="8"/>
  <c r="D176" i="8"/>
  <c r="D172" i="8"/>
  <c r="D149" i="8"/>
  <c r="D138" i="8" s="1"/>
  <c r="D137" i="8" s="1"/>
  <c r="D163" i="8" l="1"/>
  <c r="D162" i="8" s="1"/>
  <c r="E346" i="8"/>
  <c r="F346" i="8"/>
  <c r="G346" i="8" l="1"/>
  <c r="H346" i="8"/>
  <c r="H345" i="8"/>
  <c r="G345" i="8"/>
  <c r="G347" i="8"/>
  <c r="I347" i="8" s="1"/>
  <c r="I346" i="8" l="1"/>
  <c r="I345" i="8"/>
  <c r="J345" i="8"/>
  <c r="H347" i="8"/>
  <c r="D222" i="8" l="1"/>
  <c r="D38" i="11" l="1"/>
  <c r="J44" i="11"/>
  <c r="J40" i="11"/>
  <c r="I39" i="11"/>
  <c r="H39" i="11"/>
  <c r="CW32" i="6"/>
  <c r="CW31" i="6"/>
  <c r="CW12" i="6"/>
  <c r="CW13" i="6"/>
  <c r="CW14" i="6"/>
  <c r="CW15" i="6"/>
  <c r="CW16" i="6"/>
  <c r="CW17" i="6"/>
  <c r="CW18" i="6"/>
  <c r="CW19" i="6"/>
  <c r="CW20" i="6"/>
  <c r="CW21" i="6"/>
  <c r="CW22" i="6"/>
  <c r="CW23" i="6"/>
  <c r="CW24" i="6"/>
  <c r="CW25" i="6"/>
  <c r="CW26" i="6"/>
  <c r="CW27" i="6"/>
  <c r="CW28" i="6"/>
  <c r="CW11" i="6"/>
  <c r="CS32" i="6"/>
  <c r="CS31" i="6"/>
  <c r="CS12" i="6"/>
  <c r="CS13" i="6"/>
  <c r="CS14" i="6"/>
  <c r="CS15" i="6"/>
  <c r="CS16" i="6"/>
  <c r="CS17" i="6"/>
  <c r="CS18" i="6"/>
  <c r="CS19" i="6"/>
  <c r="CS20" i="6"/>
  <c r="CS21" i="6"/>
  <c r="CS22" i="6"/>
  <c r="CS23" i="6"/>
  <c r="CS24" i="6"/>
  <c r="CS25" i="6"/>
  <c r="CS26" i="6"/>
  <c r="CS27" i="6"/>
  <c r="CS28" i="6"/>
  <c r="CS11" i="6"/>
  <c r="CV32" i="6"/>
  <c r="CV31" i="6"/>
  <c r="CV13" i="6"/>
  <c r="CV15" i="6"/>
  <c r="CV17" i="6"/>
  <c r="CV19" i="6"/>
  <c r="CV21" i="6"/>
  <c r="CV23" i="6"/>
  <c r="CV25" i="6"/>
  <c r="CV27" i="6"/>
  <c r="CV11" i="6"/>
  <c r="CR32" i="6"/>
  <c r="CR31" i="6"/>
  <c r="CR12" i="6"/>
  <c r="CR13" i="6"/>
  <c r="CR14" i="6"/>
  <c r="CR15" i="6"/>
  <c r="CR16" i="6"/>
  <c r="CR17" i="6"/>
  <c r="CR18" i="6"/>
  <c r="CR19" i="6"/>
  <c r="CR20" i="6"/>
  <c r="CR21" i="6"/>
  <c r="CR22" i="6"/>
  <c r="CR23" i="6"/>
  <c r="CR24" i="6"/>
  <c r="CR25" i="6"/>
  <c r="CR26" i="6"/>
  <c r="CR27" i="6"/>
  <c r="CR28" i="6"/>
  <c r="CR11" i="6"/>
  <c r="UM34" i="2"/>
  <c r="UL34" i="2"/>
  <c r="UM30" i="2"/>
  <c r="UL30" i="2"/>
  <c r="UF34" i="2"/>
  <c r="UE34" i="2"/>
  <c r="UD33" i="2"/>
  <c r="UD32" i="2"/>
  <c r="UF30" i="2"/>
  <c r="UF37" i="2" s="1"/>
  <c r="UE30" i="2"/>
  <c r="UE37" i="2" s="1"/>
  <c r="UD29" i="2"/>
  <c r="UD28" i="2"/>
  <c r="UD27" i="2"/>
  <c r="UD26" i="2"/>
  <c r="UD25" i="2"/>
  <c r="UD24" i="2"/>
  <c r="UD23" i="2"/>
  <c r="UD22" i="2"/>
  <c r="UD21" i="2"/>
  <c r="UD20" i="2"/>
  <c r="UD19" i="2"/>
  <c r="UD18" i="2"/>
  <c r="UD17" i="2"/>
  <c r="UD16" i="2"/>
  <c r="UD15" i="2"/>
  <c r="UD14" i="2"/>
  <c r="UD13" i="2"/>
  <c r="UD12" i="2"/>
  <c r="UL37" i="2" l="1"/>
  <c r="UL42" i="2" s="1"/>
  <c r="F44" i="11"/>
  <c r="UE42" i="2"/>
  <c r="C56" i="7"/>
  <c r="UF42" i="2"/>
  <c r="UD34" i="2"/>
  <c r="UA14" i="2"/>
  <c r="UA28" i="2"/>
  <c r="UC30" i="2"/>
  <c r="UA22" i="2"/>
  <c r="UA20" i="2"/>
  <c r="CV33" i="6"/>
  <c r="UI34" i="2"/>
  <c r="UA26" i="2"/>
  <c r="UK30" i="2"/>
  <c r="UA29" i="2"/>
  <c r="UA27" i="2"/>
  <c r="UA25" i="2"/>
  <c r="UA23" i="2"/>
  <c r="UA21" i="2"/>
  <c r="UA19" i="2"/>
  <c r="UA17" i="2"/>
  <c r="UA15" i="2"/>
  <c r="UA13" i="2"/>
  <c r="UA16" i="2"/>
  <c r="UA32" i="2"/>
  <c r="CW29" i="6"/>
  <c r="CS33" i="6"/>
  <c r="CW33" i="6"/>
  <c r="CR29" i="6"/>
  <c r="CR33" i="6"/>
  <c r="UK34" i="2"/>
  <c r="CS29" i="6"/>
  <c r="UM37" i="2"/>
  <c r="UM42" i="2" s="1"/>
  <c r="F45" i="11"/>
  <c r="UA24" i="2"/>
  <c r="UA18" i="2"/>
  <c r="CV28" i="6"/>
  <c r="CV26" i="6"/>
  <c r="CV24" i="6"/>
  <c r="CV22" i="6"/>
  <c r="CV20" i="6"/>
  <c r="CV18" i="6"/>
  <c r="CV16" i="6"/>
  <c r="CV14" i="6"/>
  <c r="CV12" i="6"/>
  <c r="UI30" i="2"/>
  <c r="UD30" i="2"/>
  <c r="UB30" i="2"/>
  <c r="UH30" i="2"/>
  <c r="UH34" i="2"/>
  <c r="UA33" i="2"/>
  <c r="UA12" i="2"/>
  <c r="UC34" i="2"/>
  <c r="UB34" i="2"/>
  <c r="F40" i="11" l="1"/>
  <c r="UD37" i="2"/>
  <c r="UC37" i="2"/>
  <c r="B56" i="7" s="1"/>
  <c r="UK37" i="2"/>
  <c r="UI37" i="2"/>
  <c r="E41" i="11" s="1"/>
  <c r="G41" i="11" s="1"/>
  <c r="I41" i="11" s="1"/>
  <c r="CR36" i="6"/>
  <c r="CW36" i="6"/>
  <c r="CS36" i="6"/>
  <c r="CV29" i="6"/>
  <c r="CV36" i="6" s="1"/>
  <c r="C54" i="7"/>
  <c r="F41" i="11"/>
  <c r="UA34" i="2"/>
  <c r="UB37" i="2"/>
  <c r="E44" i="11" s="1"/>
  <c r="UA30" i="2"/>
  <c r="UH37" i="2"/>
  <c r="E40" i="11" s="1"/>
  <c r="E45" i="11" l="1"/>
  <c r="G45" i="11" s="1"/>
  <c r="I45" i="11" s="1"/>
  <c r="B54" i="7"/>
  <c r="G44" i="11"/>
  <c r="I44" i="11" s="1"/>
  <c r="H44" i="11"/>
  <c r="H40" i="11"/>
  <c r="G40" i="11"/>
  <c r="H41" i="11"/>
  <c r="F38" i="11"/>
  <c r="UA37" i="2"/>
  <c r="H45" i="11" l="1"/>
  <c r="E38" i="11"/>
  <c r="I40" i="11"/>
  <c r="G38" i="11"/>
  <c r="H38" i="11" l="1"/>
  <c r="I38" i="11"/>
  <c r="I32" i="6"/>
  <c r="AO31" i="17" s="1"/>
  <c r="AP31" i="17" s="1"/>
  <c r="I31" i="6"/>
  <c r="AO30" i="17" s="1"/>
  <c r="AP30" i="17" s="1"/>
  <c r="I12" i="6"/>
  <c r="AO11" i="17" s="1"/>
  <c r="AP11" i="17" s="1"/>
  <c r="I13" i="6"/>
  <c r="AO12" i="17" s="1"/>
  <c r="AP12" i="17" s="1"/>
  <c r="I14" i="6"/>
  <c r="AO13" i="17" s="1"/>
  <c r="AP13" i="17" s="1"/>
  <c r="I15" i="6"/>
  <c r="AO14" i="17" s="1"/>
  <c r="AP14" i="17" s="1"/>
  <c r="I16" i="6"/>
  <c r="AO15" i="17" s="1"/>
  <c r="AP15" i="17" s="1"/>
  <c r="I17" i="6"/>
  <c r="AO16" i="17" s="1"/>
  <c r="AP16" i="17" s="1"/>
  <c r="I18" i="6"/>
  <c r="AO17" i="17" s="1"/>
  <c r="AP17" i="17" s="1"/>
  <c r="I19" i="6"/>
  <c r="AO18" i="17" s="1"/>
  <c r="AP18" i="17" s="1"/>
  <c r="I20" i="6"/>
  <c r="AO19" i="17" s="1"/>
  <c r="AP19" i="17" s="1"/>
  <c r="I21" i="6"/>
  <c r="AO20" i="17" s="1"/>
  <c r="AP20" i="17" s="1"/>
  <c r="I22" i="6"/>
  <c r="I23" i="6"/>
  <c r="AO22" i="17" s="1"/>
  <c r="AP22" i="17" s="1"/>
  <c r="I24" i="6"/>
  <c r="AO23" i="17" s="1"/>
  <c r="AP23" i="17" s="1"/>
  <c r="I25" i="6"/>
  <c r="AO24" i="17" s="1"/>
  <c r="AP24" i="17" s="1"/>
  <c r="I26" i="6"/>
  <c r="AO25" i="17" s="1"/>
  <c r="AP25" i="17" s="1"/>
  <c r="I27" i="6"/>
  <c r="I28" i="6"/>
  <c r="AO27" i="17" s="1"/>
  <c r="AP27" i="17" s="1"/>
  <c r="I11" i="6"/>
  <c r="AO10" i="17" s="1"/>
  <c r="AP10" i="17" s="1"/>
  <c r="H32" i="6"/>
  <c r="AK31" i="17" s="1"/>
  <c r="AL31" i="17" s="1"/>
  <c r="H31" i="6"/>
  <c r="AK30" i="17" s="1"/>
  <c r="H12" i="6"/>
  <c r="AK11" i="17" s="1"/>
  <c r="AL11" i="17" s="1"/>
  <c r="H13" i="6"/>
  <c r="AK12" i="17" s="1"/>
  <c r="AL12" i="17" s="1"/>
  <c r="H14" i="6"/>
  <c r="AK13" i="17" s="1"/>
  <c r="AL13" i="17" s="1"/>
  <c r="H15" i="6"/>
  <c r="AK14" i="17" s="1"/>
  <c r="AL14" i="17" s="1"/>
  <c r="H16" i="6"/>
  <c r="AK15" i="17" s="1"/>
  <c r="AL15" i="17" s="1"/>
  <c r="H17" i="6"/>
  <c r="AK16" i="17" s="1"/>
  <c r="AL16" i="17" s="1"/>
  <c r="H18" i="6"/>
  <c r="AK17" i="17" s="1"/>
  <c r="AL17" i="17" s="1"/>
  <c r="H19" i="6"/>
  <c r="AK18" i="17" s="1"/>
  <c r="AL18" i="17" s="1"/>
  <c r="H20" i="6"/>
  <c r="AK19" i="17" s="1"/>
  <c r="AL19" i="17" s="1"/>
  <c r="H21" i="6"/>
  <c r="AK20" i="17" s="1"/>
  <c r="AL20" i="17" s="1"/>
  <c r="H22" i="6"/>
  <c r="AK21" i="17" s="1"/>
  <c r="AL21" i="17" s="1"/>
  <c r="H23" i="6"/>
  <c r="AK22" i="17" s="1"/>
  <c r="AL22" i="17" s="1"/>
  <c r="H24" i="6"/>
  <c r="AK23" i="17" s="1"/>
  <c r="AL23" i="17" s="1"/>
  <c r="H25" i="6"/>
  <c r="AK24" i="17" s="1"/>
  <c r="AL24" i="17" s="1"/>
  <c r="H26" i="6"/>
  <c r="AK25" i="17" s="1"/>
  <c r="AL25" i="17" s="1"/>
  <c r="H27" i="6"/>
  <c r="AK26" i="17" s="1"/>
  <c r="AL26" i="17" s="1"/>
  <c r="H28" i="6"/>
  <c r="AK27" i="17" s="1"/>
  <c r="AL27" i="17" s="1"/>
  <c r="H11" i="6"/>
  <c r="AK10" i="17" s="1"/>
  <c r="AL10" i="17" s="1"/>
  <c r="DP34" i="2"/>
  <c r="DO34" i="2"/>
  <c r="DP30" i="2"/>
  <c r="DO30" i="2"/>
  <c r="D56" i="8"/>
  <c r="H55" i="8"/>
  <c r="G55" i="8"/>
  <c r="D53" i="8"/>
  <c r="H52" i="8"/>
  <c r="G52" i="8"/>
  <c r="J51" i="8"/>
  <c r="DP37" i="2" l="1"/>
  <c r="DP42" i="2" s="1"/>
  <c r="AO26" i="17"/>
  <c r="AP26" i="17" s="1"/>
  <c r="AO21" i="17"/>
  <c r="AP21" i="17" s="1"/>
  <c r="I52" i="8"/>
  <c r="C8" i="16"/>
  <c r="J53" i="8" s="1"/>
  <c r="AP32" i="17"/>
  <c r="AL28" i="17"/>
  <c r="I55" i="8"/>
  <c r="AO32" i="17"/>
  <c r="AK28" i="17"/>
  <c r="AK32" i="17"/>
  <c r="AL30" i="17"/>
  <c r="AL32" i="17" s="1"/>
  <c r="DO37" i="2"/>
  <c r="DO42" i="2" s="1"/>
  <c r="DM55" i="2"/>
  <c r="DL34" i="2"/>
  <c r="DK34" i="2"/>
  <c r="I33" i="6"/>
  <c r="H33" i="6"/>
  <c r="I52" i="11"/>
  <c r="H52" i="11"/>
  <c r="F54" i="8" l="1"/>
  <c r="F56" i="8" s="1"/>
  <c r="C26" i="7"/>
  <c r="AP28" i="17"/>
  <c r="AP35" i="17" s="1"/>
  <c r="AO28" i="17"/>
  <c r="AO35" i="17" s="1"/>
  <c r="D65" i="11"/>
  <c r="AL35" i="17"/>
  <c r="F51" i="8"/>
  <c r="AK35" i="17"/>
  <c r="D51" i="11"/>
  <c r="DM53" i="2"/>
  <c r="DM54" i="2"/>
  <c r="DI34" i="2"/>
  <c r="DI30" i="2"/>
  <c r="DI54" i="2" s="1"/>
  <c r="DK37" i="2"/>
  <c r="E51" i="8" s="1"/>
  <c r="DL37" i="2"/>
  <c r="F51" i="11"/>
  <c r="AO36" i="17" l="1"/>
  <c r="AK36" i="17"/>
  <c r="F53" i="8"/>
  <c r="G53" i="11"/>
  <c r="I53" i="11" s="1"/>
  <c r="E54" i="8"/>
  <c r="B26" i="7"/>
  <c r="DI37" i="2"/>
  <c r="DI53" i="2" s="1"/>
  <c r="DI55" i="2"/>
  <c r="I8" i="16" l="1"/>
  <c r="H53" i="11"/>
  <c r="E51" i="11"/>
  <c r="H51" i="11" s="1"/>
  <c r="G54" i="11" l="1"/>
  <c r="I54" i="11" s="1"/>
  <c r="H54" i="11"/>
  <c r="G51" i="11" l="1"/>
  <c r="I51" i="11" s="1"/>
  <c r="AH32" i="6"/>
  <c r="EC31" i="17" s="1"/>
  <c r="ED31" i="17" s="1"/>
  <c r="AH31" i="6"/>
  <c r="EC30" i="17" s="1"/>
  <c r="AI32" i="6"/>
  <c r="EG31" i="17" s="1"/>
  <c r="EH31" i="17" s="1"/>
  <c r="AI31" i="6"/>
  <c r="EG30" i="17" s="1"/>
  <c r="AI12" i="6"/>
  <c r="EG11" i="17" s="1"/>
  <c r="AI13" i="6"/>
  <c r="EG12" i="17" s="1"/>
  <c r="AI14" i="6"/>
  <c r="AI15" i="6"/>
  <c r="EG14" i="17" s="1"/>
  <c r="AI16" i="6"/>
  <c r="EG15" i="17" s="1"/>
  <c r="AI17" i="6"/>
  <c r="EG16" i="17" s="1"/>
  <c r="AI18" i="6"/>
  <c r="AI19" i="6"/>
  <c r="EG18" i="17" s="1"/>
  <c r="AI20" i="6"/>
  <c r="AI21" i="6"/>
  <c r="AI22" i="6"/>
  <c r="EG21" i="17" s="1"/>
  <c r="AI23" i="6"/>
  <c r="EG22" i="17" s="1"/>
  <c r="AI24" i="6"/>
  <c r="EG23" i="17" s="1"/>
  <c r="AI25" i="6"/>
  <c r="EG24" i="17" s="1"/>
  <c r="AI26" i="6"/>
  <c r="EG25" i="17" s="1"/>
  <c r="AI28" i="6"/>
  <c r="EG27" i="17" s="1"/>
  <c r="AI11" i="6"/>
  <c r="EG10" i="17" s="1"/>
  <c r="AH12" i="6"/>
  <c r="EC11" i="17" s="1"/>
  <c r="AH13" i="6"/>
  <c r="EC12" i="17" s="1"/>
  <c r="AH14" i="6"/>
  <c r="EC13" i="17" s="1"/>
  <c r="AH15" i="6"/>
  <c r="EC14" i="17" s="1"/>
  <c r="AH16" i="6"/>
  <c r="EC15" i="17" s="1"/>
  <c r="AH18" i="6"/>
  <c r="EC17" i="17" s="1"/>
  <c r="AH19" i="6"/>
  <c r="EC18" i="17" s="1"/>
  <c r="AH20" i="6"/>
  <c r="EC19" i="17" s="1"/>
  <c r="AH21" i="6"/>
  <c r="EC20" i="17" s="1"/>
  <c r="AH22" i="6"/>
  <c r="EC21" i="17" s="1"/>
  <c r="AH23" i="6"/>
  <c r="EC22" i="17" s="1"/>
  <c r="AH24" i="6"/>
  <c r="EC23" i="17" s="1"/>
  <c r="AH25" i="6"/>
  <c r="EC24" i="17" s="1"/>
  <c r="AH26" i="6"/>
  <c r="EC25" i="17" s="1"/>
  <c r="AH28" i="6"/>
  <c r="EC27" i="17" s="1"/>
  <c r="GZ23" i="2"/>
  <c r="HA25" i="2"/>
  <c r="EE23" i="17" s="1"/>
  <c r="GZ26" i="2"/>
  <c r="GQ40" i="2"/>
  <c r="HJ34" i="2"/>
  <c r="HI34" i="2"/>
  <c r="HG34" i="2"/>
  <c r="HF34" i="2"/>
  <c r="HD34" i="2"/>
  <c r="HC34" i="2"/>
  <c r="HA34" i="2"/>
  <c r="GZ34" i="2"/>
  <c r="GX34" i="2"/>
  <c r="GW34" i="2"/>
  <c r="GU34" i="2"/>
  <c r="GT34" i="2"/>
  <c r="GR34" i="2"/>
  <c r="GQ34" i="2"/>
  <c r="HH33" i="2"/>
  <c r="HE33" i="2"/>
  <c r="HB33" i="2"/>
  <c r="GY33" i="2"/>
  <c r="GV33" i="2"/>
  <c r="GS33" i="2"/>
  <c r="GP33" i="2"/>
  <c r="HH32" i="2"/>
  <c r="HE32" i="2"/>
  <c r="HB32" i="2"/>
  <c r="GY32" i="2"/>
  <c r="GV32" i="2"/>
  <c r="GS32" i="2"/>
  <c r="GP32" i="2"/>
  <c r="HJ30" i="2"/>
  <c r="HJ37" i="2" s="1"/>
  <c r="HI30" i="2"/>
  <c r="HI37" i="2" s="1"/>
  <c r="GW30" i="2"/>
  <c r="GR30" i="2"/>
  <c r="GQ30" i="2"/>
  <c r="GQ37" i="2" s="1"/>
  <c r="GO30" i="2"/>
  <c r="GN30" i="2"/>
  <c r="HH29" i="2"/>
  <c r="HD29" i="2"/>
  <c r="EI27" i="17" s="1"/>
  <c r="HC29" i="2"/>
  <c r="GV29" i="2"/>
  <c r="GP29" i="2"/>
  <c r="GM29" i="2"/>
  <c r="HH28" i="2"/>
  <c r="HC28" i="2"/>
  <c r="GP28" i="2"/>
  <c r="GM28" i="2"/>
  <c r="HH27" i="2"/>
  <c r="HD27" i="2"/>
  <c r="EI25" i="17" s="1"/>
  <c r="HC27" i="2"/>
  <c r="GV27" i="2"/>
  <c r="GP27" i="2"/>
  <c r="GM27" i="2"/>
  <c r="HH26" i="2"/>
  <c r="HD26" i="2"/>
  <c r="EI24" i="17" s="1"/>
  <c r="HC26" i="2"/>
  <c r="GV26" i="2"/>
  <c r="GP26" i="2"/>
  <c r="GM26" i="2"/>
  <c r="HH25" i="2"/>
  <c r="HD25" i="2"/>
  <c r="EI23" i="17" s="1"/>
  <c r="HC25" i="2"/>
  <c r="GV25" i="2"/>
  <c r="GP25" i="2"/>
  <c r="GM25" i="2"/>
  <c r="HH24" i="2"/>
  <c r="HD24" i="2"/>
  <c r="EI22" i="17" s="1"/>
  <c r="HC24" i="2"/>
  <c r="GV24" i="2"/>
  <c r="GP24" i="2"/>
  <c r="GM24" i="2"/>
  <c r="HH23" i="2"/>
  <c r="HD23" i="2"/>
  <c r="EI21" i="17" s="1"/>
  <c r="HC23" i="2"/>
  <c r="GV23" i="2"/>
  <c r="GP23" i="2"/>
  <c r="GM23" i="2"/>
  <c r="HH22" i="2"/>
  <c r="HD22" i="2"/>
  <c r="EI20" i="17" s="1"/>
  <c r="HC22" i="2"/>
  <c r="GV22" i="2"/>
  <c r="GP22" i="2"/>
  <c r="GM22" i="2"/>
  <c r="HH21" i="2"/>
  <c r="HD21" i="2"/>
  <c r="EI19" i="17" s="1"/>
  <c r="HC21" i="2"/>
  <c r="GV21" i="2"/>
  <c r="GP21" i="2"/>
  <c r="GM21" i="2"/>
  <c r="HH20" i="2"/>
  <c r="HD20" i="2"/>
  <c r="EI18" i="17" s="1"/>
  <c r="HC20" i="2"/>
  <c r="GV20" i="2"/>
  <c r="HA20" i="2"/>
  <c r="EE18" i="17" s="1"/>
  <c r="GP20" i="2"/>
  <c r="GM20" i="2"/>
  <c r="HH19" i="2"/>
  <c r="HD19" i="2"/>
  <c r="EI17" i="17" s="1"/>
  <c r="HC19" i="2"/>
  <c r="GV19" i="2"/>
  <c r="GP19" i="2"/>
  <c r="GM19" i="2"/>
  <c r="HH18" i="2"/>
  <c r="HD18" i="2"/>
  <c r="EI16" i="17" s="1"/>
  <c r="HC18" i="2"/>
  <c r="GV18" i="2"/>
  <c r="GP18" i="2"/>
  <c r="GM18" i="2"/>
  <c r="HH17" i="2"/>
  <c r="HD17" i="2"/>
  <c r="EI15" i="17" s="1"/>
  <c r="HC17" i="2"/>
  <c r="GV17" i="2"/>
  <c r="GP17" i="2"/>
  <c r="GM17" i="2"/>
  <c r="HH16" i="2"/>
  <c r="HD16" i="2"/>
  <c r="EI14" i="17" s="1"/>
  <c r="HC16" i="2"/>
  <c r="GV16" i="2"/>
  <c r="GP16" i="2"/>
  <c r="GM16" i="2"/>
  <c r="HH15" i="2"/>
  <c r="HD15" i="2"/>
  <c r="EI13" i="17" s="1"/>
  <c r="HC15" i="2"/>
  <c r="GV15" i="2"/>
  <c r="GP15" i="2"/>
  <c r="GM15" i="2"/>
  <c r="HH14" i="2"/>
  <c r="HD14" i="2"/>
  <c r="EI12" i="17" s="1"/>
  <c r="HC14" i="2"/>
  <c r="GV14" i="2"/>
  <c r="GP14" i="2"/>
  <c r="GM14" i="2"/>
  <c r="HH13" i="2"/>
  <c r="HD13" i="2"/>
  <c r="EI11" i="17" s="1"/>
  <c r="HC13" i="2"/>
  <c r="GV13" i="2"/>
  <c r="GP13" i="2"/>
  <c r="GM13" i="2"/>
  <c r="HH12" i="2"/>
  <c r="HD12" i="2"/>
  <c r="EI10" i="17" s="1"/>
  <c r="HC12" i="2"/>
  <c r="GV12" i="2"/>
  <c r="GP12" i="2"/>
  <c r="GM12" i="2"/>
  <c r="D8" i="8"/>
  <c r="D25" i="8"/>
  <c r="D22" i="8"/>
  <c r="J21" i="8"/>
  <c r="D480" i="8" l="1"/>
  <c r="GR37" i="2"/>
  <c r="EG19" i="17"/>
  <c r="EG17" i="17"/>
  <c r="EG13" i="17"/>
  <c r="EG20" i="17"/>
  <c r="EG32" i="17"/>
  <c r="EH30" i="17"/>
  <c r="EH32" i="17" s="1"/>
  <c r="EH35" i="17" s="1"/>
  <c r="EC32" i="17"/>
  <c r="ED30" i="17"/>
  <c r="ED32" i="17" s="1"/>
  <c r="ED35" i="17" s="1"/>
  <c r="GZ16" i="2"/>
  <c r="GZ14" i="2"/>
  <c r="HB25" i="2"/>
  <c r="HE20" i="2"/>
  <c r="HE26" i="2"/>
  <c r="HE24" i="2"/>
  <c r="HE18" i="2"/>
  <c r="HB19" i="2"/>
  <c r="HB22" i="2"/>
  <c r="HB26" i="2"/>
  <c r="AI33" i="6"/>
  <c r="GS34" i="2"/>
  <c r="HE34" i="2"/>
  <c r="HB15" i="2"/>
  <c r="HB20" i="2"/>
  <c r="HB16" i="2"/>
  <c r="GS20" i="2"/>
  <c r="HA24" i="2"/>
  <c r="EE22" i="17" s="1"/>
  <c r="GP30" i="2"/>
  <c r="HB17" i="2"/>
  <c r="HB21" i="2"/>
  <c r="HB24" i="2"/>
  <c r="GZ29" i="2"/>
  <c r="GZ27" i="2"/>
  <c r="GZ25" i="2"/>
  <c r="GY25" i="2" s="1"/>
  <c r="GZ13" i="2"/>
  <c r="HE27" i="2"/>
  <c r="HE21" i="2"/>
  <c r="HE15" i="2"/>
  <c r="HE13" i="2"/>
  <c r="GS15" i="2"/>
  <c r="HA19" i="2"/>
  <c r="EE17" i="17" s="1"/>
  <c r="GS21" i="2"/>
  <c r="HA13" i="2"/>
  <c r="EE11" i="17" s="1"/>
  <c r="HA26" i="2"/>
  <c r="GW37" i="2"/>
  <c r="GQ38" i="2" s="1"/>
  <c r="GS13" i="2"/>
  <c r="HH30" i="2"/>
  <c r="GY34" i="2"/>
  <c r="HC30" i="2"/>
  <c r="HC37" i="2" s="1"/>
  <c r="HB13" i="2"/>
  <c r="HB23" i="2"/>
  <c r="HE22" i="2"/>
  <c r="GT30" i="2"/>
  <c r="GT37" i="2" s="1"/>
  <c r="GP34" i="2"/>
  <c r="HB34" i="2"/>
  <c r="HB29" i="2"/>
  <c r="GZ21" i="2"/>
  <c r="GZ17" i="2"/>
  <c r="HG30" i="2"/>
  <c r="HG37" i="2" s="1"/>
  <c r="GS22" i="2"/>
  <c r="HE25" i="2"/>
  <c r="GS29" i="2"/>
  <c r="HE17" i="2"/>
  <c r="GS24" i="2"/>
  <c r="GZ22" i="2"/>
  <c r="GS16" i="2"/>
  <c r="GS19" i="2"/>
  <c r="GS17" i="2"/>
  <c r="HA15" i="2"/>
  <c r="EE13" i="17" s="1"/>
  <c r="GO34" i="2"/>
  <c r="GO37" i="2" s="1"/>
  <c r="HA14" i="2"/>
  <c r="HA17" i="2"/>
  <c r="EE15" i="17" s="1"/>
  <c r="GZ18" i="2"/>
  <c r="GZ24" i="2"/>
  <c r="HA27" i="2"/>
  <c r="EE25" i="17" s="1"/>
  <c r="GM30" i="2"/>
  <c r="HF30" i="2"/>
  <c r="HF37" i="2" s="1"/>
  <c r="GS14" i="2"/>
  <c r="HB14" i="2"/>
  <c r="GZ15" i="2"/>
  <c r="HA16" i="2"/>
  <c r="EE14" i="17" s="1"/>
  <c r="HE16" i="2"/>
  <c r="HB18" i="2"/>
  <c r="GZ19" i="2"/>
  <c r="GZ20" i="2"/>
  <c r="GY20" i="2" s="1"/>
  <c r="HA21" i="2"/>
  <c r="EE19" i="17" s="1"/>
  <c r="HA22" i="2"/>
  <c r="EE20" i="17" s="1"/>
  <c r="HA23" i="2"/>
  <c r="HE23" i="2"/>
  <c r="GS25" i="2"/>
  <c r="GS26" i="2"/>
  <c r="GS27" i="2"/>
  <c r="HB27" i="2"/>
  <c r="GZ28" i="2"/>
  <c r="HA29" i="2"/>
  <c r="EE27" i="17" s="1"/>
  <c r="HE29" i="2"/>
  <c r="GN34" i="2"/>
  <c r="GN37" i="2" s="1"/>
  <c r="GV34" i="2"/>
  <c r="HH34" i="2"/>
  <c r="GM32" i="2"/>
  <c r="HE14" i="2"/>
  <c r="HE19" i="2"/>
  <c r="GS23" i="2"/>
  <c r="HE28" i="2"/>
  <c r="GM33" i="2"/>
  <c r="HB12" i="2"/>
  <c r="HE12" i="2"/>
  <c r="GZ12" i="2"/>
  <c r="AH33" i="6"/>
  <c r="GY14" i="2" l="1"/>
  <c r="EE12" i="17"/>
  <c r="GY26" i="2"/>
  <c r="EE24" i="17"/>
  <c r="GY23" i="2"/>
  <c r="EE21" i="17"/>
  <c r="GY16" i="2"/>
  <c r="GY24" i="2"/>
  <c r="GN38" i="2"/>
  <c r="E21" i="8" s="1"/>
  <c r="E22" i="8" s="1"/>
  <c r="G22" i="8" s="1"/>
  <c r="I22" i="8" s="1"/>
  <c r="GY13" i="2"/>
  <c r="HH37" i="2"/>
  <c r="GP37" i="2"/>
  <c r="GY29" i="2"/>
  <c r="GY21" i="2"/>
  <c r="GY19" i="2"/>
  <c r="GY27" i="2"/>
  <c r="GY15" i="2"/>
  <c r="GQ42" i="2"/>
  <c r="F21" i="8"/>
  <c r="F22" i="8" s="1"/>
  <c r="GY17" i="2"/>
  <c r="GY22" i="2"/>
  <c r="GM34" i="2"/>
  <c r="GM37" i="2" s="1"/>
  <c r="HE30" i="2"/>
  <c r="HE37" i="2" s="1"/>
  <c r="GZ30" i="2"/>
  <c r="GZ37" i="2" s="1"/>
  <c r="G21" i="8" l="1"/>
  <c r="I21" i="8" s="1"/>
  <c r="H21" i="8"/>
  <c r="H22" i="8"/>
  <c r="G23" i="8"/>
  <c r="I23" i="8" s="1"/>
  <c r="H23" i="8" l="1"/>
  <c r="G26" i="8" l="1"/>
  <c r="I26" i="8" s="1"/>
  <c r="H26" i="8"/>
  <c r="I27" i="11" l="1"/>
  <c r="H27" i="11"/>
  <c r="LE33" i="2" l="1"/>
  <c r="LE32" i="2"/>
  <c r="LE29" i="2"/>
  <c r="LE28" i="2"/>
  <c r="LE27" i="2"/>
  <c r="LE26" i="2"/>
  <c r="LE25" i="2"/>
  <c r="LE24" i="2"/>
  <c r="LE23" i="2"/>
  <c r="LE22" i="2"/>
  <c r="LE21" i="2"/>
  <c r="LE20" i="2"/>
  <c r="LE19" i="2"/>
  <c r="LE18" i="2"/>
  <c r="LE17" i="2"/>
  <c r="LE16" i="2"/>
  <c r="LE15" i="2"/>
  <c r="LT34" i="2"/>
  <c r="LX12" i="2"/>
  <c r="LX14" i="2"/>
  <c r="LX15" i="2"/>
  <c r="LX16" i="2"/>
  <c r="LX17" i="2"/>
  <c r="LX18" i="2"/>
  <c r="LX19" i="2"/>
  <c r="LX20" i="2"/>
  <c r="LX21" i="2"/>
  <c r="LX22" i="2"/>
  <c r="LX23" i="2"/>
  <c r="LX24" i="2"/>
  <c r="LX25" i="2"/>
  <c r="LX26" i="2"/>
  <c r="LX27" i="2"/>
  <c r="LX28" i="2"/>
  <c r="LX29" i="2"/>
  <c r="LX34" i="2"/>
  <c r="LM29" i="2"/>
  <c r="LM28" i="2"/>
  <c r="LM27" i="2"/>
  <c r="LM26" i="2"/>
  <c r="LM25" i="2"/>
  <c r="LM24" i="2"/>
  <c r="LM23" i="2"/>
  <c r="LM22" i="2"/>
  <c r="LM21" i="2"/>
  <c r="LM20" i="2"/>
  <c r="LM19" i="2"/>
  <c r="LM18" i="2"/>
  <c r="LM17" i="2"/>
  <c r="LM16" i="2"/>
  <c r="LM15" i="2"/>
  <c r="LM14" i="2"/>
  <c r="LM12" i="2"/>
  <c r="MC14" i="2"/>
  <c r="MC15" i="2"/>
  <c r="MC16" i="2"/>
  <c r="MC17" i="2"/>
  <c r="MC18" i="2"/>
  <c r="MC19" i="2"/>
  <c r="MC20" i="2"/>
  <c r="MC21" i="2"/>
  <c r="MC22" i="2"/>
  <c r="MC23" i="2"/>
  <c r="MC24" i="2"/>
  <c r="MC25" i="2"/>
  <c r="MC26" i="2"/>
  <c r="MC27" i="2"/>
  <c r="MC28" i="2"/>
  <c r="MC29" i="2"/>
  <c r="MC12" i="2"/>
  <c r="LH34" i="2"/>
  <c r="LH30" i="2"/>
  <c r="LL34" i="2"/>
  <c r="LP34" i="2"/>
  <c r="MF34" i="2"/>
  <c r="MB34" i="2"/>
  <c r="LE34" i="2" l="1"/>
  <c r="LT21" i="2"/>
  <c r="LT23" i="2"/>
  <c r="LT24" i="2"/>
  <c r="LT20" i="2"/>
  <c r="LT25" i="2"/>
  <c r="LT16" i="2"/>
  <c r="LT22" i="2"/>
  <c r="LT18" i="2"/>
  <c r="LT14" i="2"/>
  <c r="LT19" i="2"/>
  <c r="LH37" i="2"/>
  <c r="F86" i="8" l="1"/>
  <c r="D87" i="8"/>
  <c r="KZ42" i="2"/>
  <c r="H294" i="8"/>
  <c r="H295" i="8"/>
  <c r="D296" i="8"/>
  <c r="KS33" i="2"/>
  <c r="KS32" i="2"/>
  <c r="KS29" i="2"/>
  <c r="KS28" i="2"/>
  <c r="KS27" i="2"/>
  <c r="KS26" i="2"/>
  <c r="KS25" i="2"/>
  <c r="KS24" i="2"/>
  <c r="KS23" i="2"/>
  <c r="KS22" i="2"/>
  <c r="KS21" i="2"/>
  <c r="KS20" i="2"/>
  <c r="KS19" i="2"/>
  <c r="KS18" i="2"/>
  <c r="KS17" i="2"/>
  <c r="KS16" i="2"/>
  <c r="KS15" i="2"/>
  <c r="KS14" i="2"/>
  <c r="KS13" i="2"/>
  <c r="KS12" i="2"/>
  <c r="KV34" i="2"/>
  <c r="KV30" i="2"/>
  <c r="KV37" i="2" l="1"/>
  <c r="KV42" i="2" s="1"/>
  <c r="KS34" i="2"/>
  <c r="KS30" i="2"/>
  <c r="KX34" i="2"/>
  <c r="F87" i="8"/>
  <c r="KR34" i="2"/>
  <c r="F293" i="8" l="1"/>
  <c r="F296" i="8" s="1"/>
  <c r="KS37" i="2"/>
  <c r="KX37" i="2"/>
  <c r="E86" i="8" s="1"/>
  <c r="H86" i="8" s="1"/>
  <c r="KR37" i="2"/>
  <c r="E293" i="8" s="1"/>
  <c r="E296" i="8" s="1"/>
  <c r="H296" i="8" l="1"/>
  <c r="E87" i="8"/>
  <c r="G87" i="8" s="1"/>
  <c r="I87" i="8" s="1"/>
  <c r="G86" i="8"/>
  <c r="I86" i="8" s="1"/>
  <c r="H293" i="8"/>
  <c r="G293" i="8"/>
  <c r="G296" i="8" s="1"/>
  <c r="J424" i="8"/>
  <c r="F429" i="8"/>
  <c r="I446" i="8"/>
  <c r="H446" i="8"/>
  <c r="D445" i="8"/>
  <c r="D441" i="8" s="1"/>
  <c r="H87" i="8" l="1"/>
  <c r="G88" i="8"/>
  <c r="I88" i="8" s="1"/>
  <c r="I293" i="8"/>
  <c r="H88" i="8"/>
  <c r="F426" i="8"/>
  <c r="E426" i="8" l="1"/>
  <c r="H426" i="8" s="1"/>
  <c r="G427" i="8" l="1"/>
  <c r="G429" i="8" s="1"/>
  <c r="I429" i="8" s="1"/>
  <c r="E429" i="8"/>
  <c r="H429" i="8" s="1"/>
  <c r="H428" i="8"/>
  <c r="H427" i="8"/>
  <c r="I428" i="8"/>
  <c r="G424" i="8"/>
  <c r="G426" i="8" s="1"/>
  <c r="I426" i="8" s="1"/>
  <c r="H424" i="8"/>
  <c r="G30" i="3"/>
  <c r="G26" i="3"/>
  <c r="I427" i="8" l="1"/>
  <c r="G33" i="3"/>
  <c r="G38" i="3" s="1"/>
  <c r="F444" i="8" s="1"/>
  <c r="F440" i="8" s="1"/>
  <c r="F30" i="3"/>
  <c r="F26" i="3"/>
  <c r="I424" i="8"/>
  <c r="H425" i="8"/>
  <c r="G40" i="3" l="1"/>
  <c r="F33" i="3"/>
  <c r="F38" i="3" s="1"/>
  <c r="E444" i="8" s="1"/>
  <c r="F445" i="8"/>
  <c r="F441" i="8" s="1"/>
  <c r="I425" i="8"/>
  <c r="G444" i="8" l="1"/>
  <c r="G440" i="8" s="1"/>
  <c r="E440" i="8"/>
  <c r="H444" i="8"/>
  <c r="E445" i="8"/>
  <c r="E441" i="8" s="1"/>
  <c r="G445" i="8" l="1"/>
  <c r="G441" i="8" s="1"/>
  <c r="I444" i="8"/>
  <c r="H445" i="8"/>
  <c r="I445" i="8" l="1"/>
  <c r="KY33" i="2" l="1"/>
  <c r="KY32" i="2"/>
  <c r="KY16" i="2"/>
  <c r="KY17" i="2"/>
  <c r="KY18" i="2"/>
  <c r="KY19" i="2"/>
  <c r="KY20" i="2"/>
  <c r="KY21" i="2"/>
  <c r="KY22" i="2"/>
  <c r="KY23" i="2"/>
  <c r="KY24" i="2"/>
  <c r="KY25" i="2"/>
  <c r="KY26" i="2"/>
  <c r="KY27" i="2"/>
  <c r="KY28" i="2"/>
  <c r="KY29" i="2"/>
  <c r="KY12" i="2"/>
  <c r="KY13" i="2"/>
  <c r="KY14" i="2"/>
  <c r="KY15" i="2"/>
  <c r="AK60" i="2"/>
  <c r="AK59" i="2"/>
  <c r="AK58" i="2"/>
  <c r="AK56" i="2"/>
  <c r="AQ60" i="2"/>
  <c r="AQ59" i="2"/>
  <c r="AQ58" i="2"/>
  <c r="AQ56" i="2"/>
  <c r="AW58" i="2"/>
  <c r="AW55" i="2"/>
  <c r="AW54" i="2"/>
  <c r="BA58" i="2"/>
  <c r="BA55" i="2"/>
  <c r="BA54" i="2"/>
  <c r="BQ29" i="2"/>
  <c r="BQ28" i="2"/>
  <c r="BQ27" i="2"/>
  <c r="BQ26" i="2"/>
  <c r="BQ25" i="2"/>
  <c r="BQ24" i="2"/>
  <c r="BQ23" i="2"/>
  <c r="BQ22" i="2"/>
  <c r="BQ21" i="2"/>
  <c r="BQ20" i="2"/>
  <c r="BQ19" i="2"/>
  <c r="BQ18" i="2"/>
  <c r="BQ17" i="2"/>
  <c r="BQ16" i="2"/>
  <c r="BQ15" i="2"/>
  <c r="BQ14" i="2"/>
  <c r="BQ13" i="2"/>
  <c r="BQ12" i="2"/>
  <c r="BA29" i="2"/>
  <c r="BA28" i="2"/>
  <c r="BA27" i="2"/>
  <c r="BA26" i="2"/>
  <c r="BA25" i="2"/>
  <c r="BA24" i="2"/>
  <c r="BA23" i="2"/>
  <c r="BA22" i="2"/>
  <c r="BA21" i="2"/>
  <c r="BA20" i="2"/>
  <c r="BA19" i="2"/>
  <c r="BA18" i="2"/>
  <c r="BA17" i="2"/>
  <c r="BA16" i="2"/>
  <c r="BA15" i="2"/>
  <c r="BA14" i="2"/>
  <c r="BA13" i="2"/>
  <c r="BA12" i="2"/>
  <c r="BQ34" i="2"/>
  <c r="BM34" i="2"/>
  <c r="BI34" i="2"/>
  <c r="BE34" i="2"/>
  <c r="BA34" i="2"/>
  <c r="AW34" i="2"/>
  <c r="AQ34" i="2" l="1"/>
  <c r="BQ30" i="2"/>
  <c r="BQ37" i="2" s="1"/>
  <c r="BA30" i="2"/>
  <c r="BA37" i="2" s="1"/>
  <c r="AQ30" i="2"/>
  <c r="AQ37" i="2" l="1"/>
  <c r="AR43" i="1"/>
  <c r="G69" i="1" l="1"/>
  <c r="E58" i="2"/>
  <c r="D58" i="2"/>
  <c r="CJ33" i="2" l="1"/>
  <c r="CJ32" i="2"/>
  <c r="CJ29" i="2"/>
  <c r="CJ28" i="2"/>
  <c r="CJ27" i="2"/>
  <c r="CJ26" i="2"/>
  <c r="CJ25" i="2"/>
  <c r="CJ24" i="2"/>
  <c r="CJ23" i="2"/>
  <c r="CJ22" i="2"/>
  <c r="CJ21" i="2"/>
  <c r="CJ20" i="2"/>
  <c r="CJ19" i="2"/>
  <c r="CJ18" i="2"/>
  <c r="CJ17" i="2"/>
  <c r="CJ16" i="2"/>
  <c r="CJ15" i="2"/>
  <c r="CJ14" i="2"/>
  <c r="CJ13" i="2"/>
  <c r="CJ12" i="2"/>
  <c r="CE33" i="2"/>
  <c r="CE32" i="2"/>
  <c r="BZ33" i="2"/>
  <c r="BZ32" i="2"/>
  <c r="BZ29" i="2"/>
  <c r="BZ28" i="2"/>
  <c r="BZ27" i="2"/>
  <c r="BZ26" i="2"/>
  <c r="BZ25" i="2"/>
  <c r="BZ24" i="2"/>
  <c r="BZ23" i="2"/>
  <c r="BZ22" i="2"/>
  <c r="BZ21" i="2"/>
  <c r="BZ20" i="2"/>
  <c r="BZ19" i="2"/>
  <c r="BZ18" i="2"/>
  <c r="BZ17" i="2"/>
  <c r="BZ16" i="2"/>
  <c r="BZ15" i="2"/>
  <c r="BZ14" i="2"/>
  <c r="BZ13" i="2"/>
  <c r="BZ12" i="2"/>
  <c r="BZ34" i="2" l="1"/>
  <c r="BZ30" i="2"/>
  <c r="CE34" i="2"/>
  <c r="CJ34" i="2"/>
  <c r="CJ30" i="2"/>
  <c r="E56" i="8" l="1"/>
  <c r="H54" i="8"/>
  <c r="G54" i="8"/>
  <c r="E53" i="8"/>
  <c r="H51" i="8"/>
  <c r="G51" i="8"/>
  <c r="K51" i="8" s="1"/>
  <c r="BM12" i="2"/>
  <c r="BM14" i="2"/>
  <c r="BM16" i="2"/>
  <c r="BM18" i="2"/>
  <c r="BM20" i="2"/>
  <c r="BM22" i="2"/>
  <c r="BM24" i="2"/>
  <c r="BM26" i="2"/>
  <c r="BM28" i="2"/>
  <c r="BM13" i="2"/>
  <c r="BM15" i="2"/>
  <c r="BM17" i="2"/>
  <c r="BM19" i="2"/>
  <c r="BM21" i="2"/>
  <c r="BM23" i="2"/>
  <c r="BM25" i="2"/>
  <c r="BM27" i="2"/>
  <c r="BM29" i="2"/>
  <c r="AW29" i="2"/>
  <c r="AW27" i="2"/>
  <c r="AW25" i="2"/>
  <c r="AW23" i="2"/>
  <c r="AW21" i="2"/>
  <c r="AW19" i="2"/>
  <c r="AW17" i="2"/>
  <c r="AW15" i="2"/>
  <c r="AW13" i="2"/>
  <c r="AW12" i="2"/>
  <c r="AW28" i="2"/>
  <c r="AW26" i="2"/>
  <c r="AW24" i="2"/>
  <c r="AW22" i="2"/>
  <c r="AW20" i="2"/>
  <c r="AW18" i="2"/>
  <c r="AW16" i="2"/>
  <c r="AW14" i="2"/>
  <c r="BZ37" i="2"/>
  <c r="CJ37" i="2"/>
  <c r="I51" i="8" l="1"/>
  <c r="H8" i="16"/>
  <c r="J8" i="16" s="1"/>
  <c r="I54" i="8"/>
  <c r="G56" i="8"/>
  <c r="H56" i="8"/>
  <c r="G53" i="8"/>
  <c r="H53" i="8"/>
  <c r="KO28" i="2"/>
  <c r="KO26" i="2"/>
  <c r="KO24" i="2"/>
  <c r="KO22" i="2"/>
  <c r="LY29" i="2"/>
  <c r="LY28" i="2"/>
  <c r="LY27" i="2"/>
  <c r="LY26" i="2"/>
  <c r="LY25" i="2"/>
  <c r="LY24" i="2"/>
  <c r="LY23" i="2"/>
  <c r="LY22" i="2"/>
  <c r="LY21" i="2"/>
  <c r="LY20" i="2"/>
  <c r="LY19" i="2"/>
  <c r="LY18" i="2"/>
  <c r="LY17" i="2"/>
  <c r="LY16" i="2"/>
  <c r="LY15" i="2"/>
  <c r="LY14" i="2"/>
  <c r="LI25" i="2"/>
  <c r="LI24" i="2"/>
  <c r="LI23" i="2"/>
  <c r="LI22" i="2"/>
  <c r="LI21" i="2"/>
  <c r="LI20" i="2"/>
  <c r="LI19" i="2"/>
  <c r="LI18" i="2"/>
  <c r="LI16" i="2"/>
  <c r="LI14" i="2"/>
  <c r="LA29" i="2"/>
  <c r="LA28" i="2"/>
  <c r="LA27" i="2"/>
  <c r="LA26" i="2"/>
  <c r="LA25" i="2"/>
  <c r="LA24" i="2"/>
  <c r="LA23" i="2"/>
  <c r="LA22" i="2"/>
  <c r="LA21" i="2"/>
  <c r="LA20" i="2"/>
  <c r="LA19" i="2"/>
  <c r="LA18" i="2"/>
  <c r="LA17" i="2"/>
  <c r="LA16" i="2"/>
  <c r="LA15" i="2"/>
  <c r="LA14" i="2"/>
  <c r="LA13" i="2"/>
  <c r="LY12" i="2"/>
  <c r="LA12" i="2"/>
  <c r="KO20" i="2"/>
  <c r="KO32" i="2"/>
  <c r="KO27" i="2"/>
  <c r="KO25" i="2"/>
  <c r="KO23" i="2"/>
  <c r="KO21" i="2"/>
  <c r="KO19" i="2"/>
  <c r="KO17" i="2"/>
  <c r="KO15" i="2"/>
  <c r="KO18" i="2"/>
  <c r="KO16" i="2"/>
  <c r="KO14" i="2"/>
  <c r="KO29" i="2"/>
  <c r="KO12" i="2"/>
  <c r="KO33" i="2"/>
  <c r="KW12" i="2"/>
  <c r="KW32" i="2"/>
  <c r="KW33" i="2"/>
  <c r="KW29" i="2"/>
  <c r="KW28" i="2"/>
  <c r="KW27" i="2"/>
  <c r="KW26" i="2"/>
  <c r="KW25" i="2"/>
  <c r="KW24" i="2"/>
  <c r="KW23" i="2"/>
  <c r="KW22" i="2"/>
  <c r="KW21" i="2"/>
  <c r="KW20" i="2"/>
  <c r="KW19" i="2"/>
  <c r="KW18" i="2"/>
  <c r="KW17" i="2"/>
  <c r="KW16" i="2"/>
  <c r="KW15" i="2"/>
  <c r="KW14" i="2"/>
  <c r="KW13" i="2"/>
  <c r="BM30" i="2"/>
  <c r="BM37" i="2" s="1"/>
  <c r="AW30" i="2"/>
  <c r="AW37" i="2" s="1"/>
  <c r="N43" i="1" s="1"/>
  <c r="CE28" i="2"/>
  <c r="CE26" i="2"/>
  <c r="CE24" i="2"/>
  <c r="CE20" i="2"/>
  <c r="CE18" i="2"/>
  <c r="CE16" i="2"/>
  <c r="BU27" i="2"/>
  <c r="BU25" i="2"/>
  <c r="BU13" i="2"/>
  <c r="CE29" i="2"/>
  <c r="CE25" i="2"/>
  <c r="CE23" i="2"/>
  <c r="CE21" i="2"/>
  <c r="CE19" i="2"/>
  <c r="CE17" i="2"/>
  <c r="CE15" i="2"/>
  <c r="BU22" i="2"/>
  <c r="BU20" i="2"/>
  <c r="CE12" i="2"/>
  <c r="BU32" i="2"/>
  <c r="I53" i="8" l="1"/>
  <c r="I56" i="8"/>
  <c r="LA30" i="2"/>
  <c r="D416" i="8" l="1"/>
  <c r="D413" i="8"/>
  <c r="D410" i="8"/>
  <c r="D407" i="8"/>
  <c r="I242" i="8"/>
  <c r="H242" i="8"/>
  <c r="I241" i="8"/>
  <c r="H241" i="8"/>
  <c r="D239" i="8"/>
  <c r="I238" i="8"/>
  <c r="H238" i="8"/>
  <c r="I237" i="8"/>
  <c r="H237" i="8"/>
  <c r="W32" i="6"/>
  <c r="CS31" i="17" s="1"/>
  <c r="CT31" i="17" s="1"/>
  <c r="W31" i="6"/>
  <c r="CS30" i="17" s="1"/>
  <c r="W12" i="6"/>
  <c r="CS11" i="17" s="1"/>
  <c r="W13" i="6"/>
  <c r="CS12" i="17" s="1"/>
  <c r="W14" i="6"/>
  <c r="CS13" i="17" s="1"/>
  <c r="W15" i="6"/>
  <c r="CS14" i="17" s="1"/>
  <c r="W16" i="6"/>
  <c r="CS15" i="17" s="1"/>
  <c r="W17" i="6"/>
  <c r="CS16" i="17" s="1"/>
  <c r="W18" i="6"/>
  <c r="CS17" i="17" s="1"/>
  <c r="W19" i="6"/>
  <c r="CS18" i="17" s="1"/>
  <c r="W20" i="6"/>
  <c r="CS19" i="17" s="1"/>
  <c r="W21" i="6"/>
  <c r="CS20" i="17" s="1"/>
  <c r="W22" i="6"/>
  <c r="CS21" i="17" s="1"/>
  <c r="W23" i="6"/>
  <c r="CS22" i="17" s="1"/>
  <c r="W24" i="6"/>
  <c r="CS23" i="17" s="1"/>
  <c r="W25" i="6"/>
  <c r="CS24" i="17" s="1"/>
  <c r="W26" i="6"/>
  <c r="CS25" i="17" s="1"/>
  <c r="W27" i="6"/>
  <c r="CS26" i="17" s="1"/>
  <c r="W28" i="6"/>
  <c r="CS27" i="17" s="1"/>
  <c r="W11" i="6"/>
  <c r="CS10" i="17" s="1"/>
  <c r="FD34" i="2"/>
  <c r="FC34" i="2"/>
  <c r="FD30" i="2"/>
  <c r="FC30" i="2"/>
  <c r="V32" i="6"/>
  <c r="CO31" i="17" s="1"/>
  <c r="CP31" i="17" s="1"/>
  <c r="V31" i="6"/>
  <c r="CO30" i="17" s="1"/>
  <c r="CP30" i="17" s="1"/>
  <c r="V28" i="6"/>
  <c r="CO27" i="17" s="1"/>
  <c r="V27" i="6"/>
  <c r="CO26" i="17" s="1"/>
  <c r="V26" i="6"/>
  <c r="CO25" i="17" s="1"/>
  <c r="V25" i="6"/>
  <c r="CO24" i="17" s="1"/>
  <c r="V24" i="6"/>
  <c r="CO23" i="17" s="1"/>
  <c r="V23" i="6"/>
  <c r="CO22" i="17" s="1"/>
  <c r="V22" i="6"/>
  <c r="CO21" i="17" s="1"/>
  <c r="V21" i="6"/>
  <c r="CO20" i="17" s="1"/>
  <c r="V20" i="6"/>
  <c r="CO19" i="17" s="1"/>
  <c r="V19" i="6"/>
  <c r="CO18" i="17" s="1"/>
  <c r="V18" i="6"/>
  <c r="CO17" i="17" s="1"/>
  <c r="V17" i="6"/>
  <c r="CO16" i="17" s="1"/>
  <c r="V16" i="6"/>
  <c r="CO15" i="17" s="1"/>
  <c r="V15" i="6"/>
  <c r="CO14" i="17" s="1"/>
  <c r="V14" i="6"/>
  <c r="CO13" i="17" s="1"/>
  <c r="V13" i="6"/>
  <c r="CO12" i="17" s="1"/>
  <c r="V12" i="6"/>
  <c r="CO11" i="17" s="1"/>
  <c r="FB33" i="2"/>
  <c r="FB32" i="2"/>
  <c r="FB29" i="2"/>
  <c r="FB28" i="2"/>
  <c r="FB27" i="2"/>
  <c r="FB26" i="2"/>
  <c r="FB25" i="2"/>
  <c r="FB24" i="2"/>
  <c r="FB23" i="2"/>
  <c r="FB22" i="2"/>
  <c r="FB21" i="2"/>
  <c r="FB20" i="2"/>
  <c r="FB19" i="2"/>
  <c r="FB18" i="2"/>
  <c r="FB17" i="2"/>
  <c r="FB16" i="2"/>
  <c r="FB15" i="2"/>
  <c r="FB14" i="2"/>
  <c r="FB13" i="2"/>
  <c r="FB12" i="2"/>
  <c r="CP32" i="17" l="1"/>
  <c r="CP35" i="17" s="1"/>
  <c r="CT30" i="17"/>
  <c r="CT32" i="17" s="1"/>
  <c r="CT35" i="17" s="1"/>
  <c r="CS32" i="17"/>
  <c r="CS28" i="17"/>
  <c r="CO32" i="17"/>
  <c r="FD37" i="2"/>
  <c r="EY20" i="2"/>
  <c r="EY24" i="2"/>
  <c r="EY28" i="2"/>
  <c r="EY26" i="2"/>
  <c r="EZ34" i="2"/>
  <c r="FA34" i="2"/>
  <c r="EY22" i="2"/>
  <c r="EY19" i="2"/>
  <c r="EY23" i="2"/>
  <c r="EY27" i="2"/>
  <c r="FC37" i="2"/>
  <c r="EY14" i="2"/>
  <c r="V11" i="6"/>
  <c r="CO10" i="17" s="1"/>
  <c r="CO28" i="17" s="1"/>
  <c r="FB34" i="2"/>
  <c r="FB30" i="2"/>
  <c r="EY21" i="2"/>
  <c r="EY25" i="2"/>
  <c r="EY29" i="2"/>
  <c r="EY15" i="2"/>
  <c r="EY16" i="2"/>
  <c r="EY13" i="2"/>
  <c r="EY12" i="2"/>
  <c r="EY17" i="2"/>
  <c r="EY32" i="2"/>
  <c r="EY18" i="2"/>
  <c r="EY33" i="2"/>
  <c r="V33" i="6"/>
  <c r="J430" i="8"/>
  <c r="BC32" i="6"/>
  <c r="IW31" i="17" s="1"/>
  <c r="IX31" i="17" s="1"/>
  <c r="BC31" i="6"/>
  <c r="IW30" i="17" s="1"/>
  <c r="BC12" i="6"/>
  <c r="IW11" i="17" s="1"/>
  <c r="BC13" i="6"/>
  <c r="IW12" i="17" s="1"/>
  <c r="BC14" i="6"/>
  <c r="IW13" i="17" s="1"/>
  <c r="BC15" i="6"/>
  <c r="IW14" i="17" s="1"/>
  <c r="BC16" i="6"/>
  <c r="IW15" i="17" s="1"/>
  <c r="BC17" i="6"/>
  <c r="IW16" i="17" s="1"/>
  <c r="BC18" i="6"/>
  <c r="IW17" i="17" s="1"/>
  <c r="BC19" i="6"/>
  <c r="IW18" i="17" s="1"/>
  <c r="BC20" i="6"/>
  <c r="IW19" i="17" s="1"/>
  <c r="BC21" i="6"/>
  <c r="IW20" i="17" s="1"/>
  <c r="BC22" i="6"/>
  <c r="IW21" i="17" s="1"/>
  <c r="BC23" i="6"/>
  <c r="IW22" i="17" s="1"/>
  <c r="BC24" i="6"/>
  <c r="IW23" i="17" s="1"/>
  <c r="BC25" i="6"/>
  <c r="IW24" i="17" s="1"/>
  <c r="BC26" i="6"/>
  <c r="IW25" i="17" s="1"/>
  <c r="BC27" i="6"/>
  <c r="IW26" i="17" s="1"/>
  <c r="BC28" i="6"/>
  <c r="IW27" i="17" s="1"/>
  <c r="BC11" i="6"/>
  <c r="IW10" i="17" s="1"/>
  <c r="BB32" i="6"/>
  <c r="IS31" i="17" s="1"/>
  <c r="IT31" i="17" s="1"/>
  <c r="BB31" i="6"/>
  <c r="IS30" i="17" s="1"/>
  <c r="BB13" i="6"/>
  <c r="IS12" i="17" s="1"/>
  <c r="BB15" i="6"/>
  <c r="IS14" i="17" s="1"/>
  <c r="BB19" i="6"/>
  <c r="IS18" i="17" s="1"/>
  <c r="BB20" i="6"/>
  <c r="IS19" i="17" s="1"/>
  <c r="BB21" i="6"/>
  <c r="IS20" i="17" s="1"/>
  <c r="BB23" i="6"/>
  <c r="IS22" i="17" s="1"/>
  <c r="BB24" i="6"/>
  <c r="IS23" i="17" s="1"/>
  <c r="BB25" i="6"/>
  <c r="IS24" i="17" s="1"/>
  <c r="BB27" i="6"/>
  <c r="IS26" i="17" s="1"/>
  <c r="BB28" i="6"/>
  <c r="IS27" i="17" s="1"/>
  <c r="BB11" i="6"/>
  <c r="IS10" i="17" s="1"/>
  <c r="NP34" i="2"/>
  <c r="NO34" i="2"/>
  <c r="NN33" i="2"/>
  <c r="NN32" i="2"/>
  <c r="NP30" i="2"/>
  <c r="NO30" i="2"/>
  <c r="NN29" i="2"/>
  <c r="NN28" i="2"/>
  <c r="NN27" i="2"/>
  <c r="NN26" i="2"/>
  <c r="NN25" i="2"/>
  <c r="NN24" i="2"/>
  <c r="NN23" i="2"/>
  <c r="NN22" i="2"/>
  <c r="NN21" i="2"/>
  <c r="NN20" i="2"/>
  <c r="NN19" i="2"/>
  <c r="NN18" i="2"/>
  <c r="NN17" i="2"/>
  <c r="NN16" i="2"/>
  <c r="NN15" i="2"/>
  <c r="NN14" i="2"/>
  <c r="NN13" i="2"/>
  <c r="NN12" i="2"/>
  <c r="J400" i="8"/>
  <c r="Y32" i="6"/>
  <c r="DA31" i="17" s="1"/>
  <c r="DB31" i="17" s="1"/>
  <c r="Y31" i="6"/>
  <c r="DA30" i="17" s="1"/>
  <c r="Y12" i="6"/>
  <c r="DA11" i="17" s="1"/>
  <c r="DB11" i="17" s="1"/>
  <c r="Y13" i="6"/>
  <c r="DA12" i="17" s="1"/>
  <c r="DB12" i="17" s="1"/>
  <c r="Y14" i="6"/>
  <c r="DA13" i="17" s="1"/>
  <c r="DB13" i="17" s="1"/>
  <c r="Y15" i="6"/>
  <c r="DA14" i="17" s="1"/>
  <c r="DB14" i="17" s="1"/>
  <c r="Y16" i="6"/>
  <c r="DA15" i="17" s="1"/>
  <c r="DB15" i="17" s="1"/>
  <c r="Y17" i="6"/>
  <c r="DA16" i="17" s="1"/>
  <c r="DB16" i="17" s="1"/>
  <c r="Y18" i="6"/>
  <c r="DA17" i="17" s="1"/>
  <c r="DB17" i="17" s="1"/>
  <c r="Y19" i="6"/>
  <c r="Y20" i="6"/>
  <c r="DA19" i="17" s="1"/>
  <c r="DB19" i="17" s="1"/>
  <c r="Y21" i="6"/>
  <c r="DA20" i="17" s="1"/>
  <c r="DB20" i="17" s="1"/>
  <c r="Y22" i="6"/>
  <c r="DA21" i="17" s="1"/>
  <c r="DB21" i="17" s="1"/>
  <c r="Y23" i="6"/>
  <c r="DA22" i="17" s="1"/>
  <c r="DB22" i="17" s="1"/>
  <c r="Y24" i="6"/>
  <c r="DA23" i="17" s="1"/>
  <c r="DB23" i="17" s="1"/>
  <c r="Y25" i="6"/>
  <c r="DA24" i="17" s="1"/>
  <c r="DB24" i="17" s="1"/>
  <c r="Y26" i="6"/>
  <c r="DA25" i="17" s="1"/>
  <c r="DB25" i="17" s="1"/>
  <c r="Y27" i="6"/>
  <c r="DA26" i="17" s="1"/>
  <c r="DB26" i="17" s="1"/>
  <c r="Y28" i="6"/>
  <c r="DA27" i="17" s="1"/>
  <c r="DB27" i="17" s="1"/>
  <c r="Y11" i="6"/>
  <c r="DA10" i="17" s="1"/>
  <c r="X32" i="6"/>
  <c r="CW31" i="17" s="1"/>
  <c r="CX31" i="17" s="1"/>
  <c r="X31" i="6"/>
  <c r="CW30" i="17" s="1"/>
  <c r="X12" i="6"/>
  <c r="CW11" i="17" s="1"/>
  <c r="CX11" i="17" s="1"/>
  <c r="X13" i="6"/>
  <c r="CW12" i="17" s="1"/>
  <c r="CX12" i="17" s="1"/>
  <c r="X14" i="6"/>
  <c r="CW13" i="17" s="1"/>
  <c r="CX13" i="17" s="1"/>
  <c r="X15" i="6"/>
  <c r="CW14" i="17" s="1"/>
  <c r="CX14" i="17" s="1"/>
  <c r="X16" i="6"/>
  <c r="CW15" i="17" s="1"/>
  <c r="CX15" i="17" s="1"/>
  <c r="X17" i="6"/>
  <c r="CW16" i="17" s="1"/>
  <c r="CX16" i="17" s="1"/>
  <c r="X18" i="6"/>
  <c r="CW17" i="17" s="1"/>
  <c r="CX17" i="17" s="1"/>
  <c r="X19" i="6"/>
  <c r="CW18" i="17" s="1"/>
  <c r="CX18" i="17" s="1"/>
  <c r="X20" i="6"/>
  <c r="CW19" i="17" s="1"/>
  <c r="CX19" i="17" s="1"/>
  <c r="X21" i="6"/>
  <c r="CW20" i="17" s="1"/>
  <c r="CX20" i="17" s="1"/>
  <c r="X22" i="6"/>
  <c r="CW21" i="17" s="1"/>
  <c r="CX21" i="17" s="1"/>
  <c r="X23" i="6"/>
  <c r="CW22" i="17" s="1"/>
  <c r="CX22" i="17" s="1"/>
  <c r="X24" i="6"/>
  <c r="CW23" i="17" s="1"/>
  <c r="CX23" i="17" s="1"/>
  <c r="X25" i="6"/>
  <c r="CW24" i="17" s="1"/>
  <c r="CX24" i="17" s="1"/>
  <c r="X26" i="6"/>
  <c r="CW25" i="17" s="1"/>
  <c r="CX25" i="17" s="1"/>
  <c r="X27" i="6"/>
  <c r="CW26" i="17" s="1"/>
  <c r="CX26" i="17" s="1"/>
  <c r="X28" i="6"/>
  <c r="CW27" i="17" s="1"/>
  <c r="CX27" i="17" s="1"/>
  <c r="X11" i="6"/>
  <c r="CW10" i="17" s="1"/>
  <c r="FJ34" i="2"/>
  <c r="FI34" i="2"/>
  <c r="FH33" i="2"/>
  <c r="FH32" i="2"/>
  <c r="FJ30" i="2"/>
  <c r="FJ37" i="2" s="1"/>
  <c r="FI30" i="2"/>
  <c r="FI37" i="2" s="1"/>
  <c r="FH29" i="2"/>
  <c r="FH28" i="2"/>
  <c r="FH27" i="2"/>
  <c r="FH26" i="2"/>
  <c r="FH25" i="2"/>
  <c r="FH24" i="2"/>
  <c r="FH23" i="2"/>
  <c r="FH22" i="2"/>
  <c r="FH21" i="2"/>
  <c r="FH20" i="2"/>
  <c r="FH19" i="2"/>
  <c r="FH18" i="2"/>
  <c r="FH17" i="2"/>
  <c r="FH16" i="2"/>
  <c r="FH15" i="2"/>
  <c r="FH14" i="2"/>
  <c r="FH13" i="2"/>
  <c r="FH12" i="2"/>
  <c r="D284" i="8"/>
  <c r="H283" i="8"/>
  <c r="G283" i="8"/>
  <c r="I283" i="8" s="1"/>
  <c r="H282" i="8"/>
  <c r="G282" i="8"/>
  <c r="I282" i="8" s="1"/>
  <c r="D280" i="8"/>
  <c r="H279" i="8"/>
  <c r="G279" i="8"/>
  <c r="I279" i="8" s="1"/>
  <c r="H278" i="8"/>
  <c r="G278" i="8"/>
  <c r="I278" i="8" s="1"/>
  <c r="J277" i="8"/>
  <c r="E297" i="8"/>
  <c r="G297" i="8" s="1"/>
  <c r="I297" i="8" s="1"/>
  <c r="D298" i="8"/>
  <c r="F298" i="8"/>
  <c r="DA18" i="17" l="1"/>
  <c r="DB18" i="17" s="1"/>
  <c r="C18" i="7"/>
  <c r="FJ42" i="2"/>
  <c r="F277" i="8"/>
  <c r="FI42" i="2"/>
  <c r="F433" i="8"/>
  <c r="F434" i="8" s="1"/>
  <c r="FD42" i="2"/>
  <c r="F430" i="8"/>
  <c r="F431" i="8" s="1"/>
  <c r="FC42" i="2"/>
  <c r="CO35" i="17"/>
  <c r="CO36" i="17" s="1"/>
  <c r="IW28" i="17"/>
  <c r="IW32" i="17"/>
  <c r="IX30" i="17"/>
  <c r="IX32" i="17" s="1"/>
  <c r="IX35" i="17" s="1"/>
  <c r="IT30" i="17"/>
  <c r="IT32" i="17" s="1"/>
  <c r="IT35" i="17" s="1"/>
  <c r="IS32" i="17"/>
  <c r="DB30" i="17"/>
  <c r="DB32" i="17" s="1"/>
  <c r="DA32" i="17"/>
  <c r="DB10" i="17"/>
  <c r="CS35" i="17"/>
  <c r="CS36" i="17" s="1"/>
  <c r="CX30" i="17"/>
  <c r="CX32" i="17" s="1"/>
  <c r="CW32" i="17"/>
  <c r="CX10" i="17"/>
  <c r="CX28" i="17" s="1"/>
  <c r="CW28" i="17"/>
  <c r="NO37" i="2"/>
  <c r="C14" i="7"/>
  <c r="EZ37" i="2"/>
  <c r="E430" i="8" s="1"/>
  <c r="E431" i="8" s="1"/>
  <c r="NK14" i="2"/>
  <c r="H297" i="8"/>
  <c r="NN30" i="2"/>
  <c r="NN34" i="2"/>
  <c r="NK32" i="2"/>
  <c r="FB37" i="2"/>
  <c r="FE26" i="2"/>
  <c r="FE24" i="2"/>
  <c r="FE18" i="2"/>
  <c r="FA37" i="2"/>
  <c r="E298" i="8"/>
  <c r="H298" i="8" s="1"/>
  <c r="FE16" i="2"/>
  <c r="NM34" i="2"/>
  <c r="NK21" i="2"/>
  <c r="NK16" i="2"/>
  <c r="NP37" i="2"/>
  <c r="NP42" i="2" s="1"/>
  <c r="NL30" i="2"/>
  <c r="FH30" i="2"/>
  <c r="EY34" i="2"/>
  <c r="NK17" i="2"/>
  <c r="NK13" i="2"/>
  <c r="FE14" i="2"/>
  <c r="FE22" i="2"/>
  <c r="EY30" i="2"/>
  <c r="NK23" i="2"/>
  <c r="BC29" i="6"/>
  <c r="NK27" i="2"/>
  <c r="NK19" i="2"/>
  <c r="NK15" i="2"/>
  <c r="FE20" i="2"/>
  <c r="FE28" i="2"/>
  <c r="FE33" i="2"/>
  <c r="FE13" i="2"/>
  <c r="FE15" i="2"/>
  <c r="FE17" i="2"/>
  <c r="FE19" i="2"/>
  <c r="FE21" i="2"/>
  <c r="FE23" i="2"/>
  <c r="FE25" i="2"/>
  <c r="FE27" i="2"/>
  <c r="FE29" i="2"/>
  <c r="FG34" i="2"/>
  <c r="NK25" i="2"/>
  <c r="W33" i="6"/>
  <c r="W29" i="6"/>
  <c r="FE12" i="2"/>
  <c r="FE32" i="2"/>
  <c r="NK29" i="2"/>
  <c r="NK18" i="2"/>
  <c r="V29" i="6"/>
  <c r="V36" i="6" s="1"/>
  <c r="BB26" i="6"/>
  <c r="IS25" i="17" s="1"/>
  <c r="BB22" i="6"/>
  <c r="IS21" i="17" s="1"/>
  <c r="BB18" i="6"/>
  <c r="IS17" i="17" s="1"/>
  <c r="BB16" i="6"/>
  <c r="IS15" i="17" s="1"/>
  <c r="BB14" i="6"/>
  <c r="IS13" i="17" s="1"/>
  <c r="BB12" i="6"/>
  <c r="IS11" i="17" s="1"/>
  <c r="BC33" i="6"/>
  <c r="BB17" i="6"/>
  <c r="IS16" i="17" s="1"/>
  <c r="FH34" i="2"/>
  <c r="BB33" i="6"/>
  <c r="NK12" i="2"/>
  <c r="NK20" i="2"/>
  <c r="NK24" i="2"/>
  <c r="NK28" i="2"/>
  <c r="F281" i="8"/>
  <c r="F284" i="8" s="1"/>
  <c r="NM30" i="2"/>
  <c r="NK22" i="2"/>
  <c r="NK26" i="2"/>
  <c r="FF34" i="2"/>
  <c r="F280" i="8"/>
  <c r="DA28" i="17" l="1"/>
  <c r="DA35" i="17" s="1"/>
  <c r="DB28" i="17"/>
  <c r="DB35" i="17" s="1"/>
  <c r="F400" i="8"/>
  <c r="F402" i="8" s="1"/>
  <c r="NO42" i="2"/>
  <c r="IW35" i="17"/>
  <c r="IW36" i="17" s="1"/>
  <c r="IS28" i="17"/>
  <c r="IS35" i="17" s="1"/>
  <c r="IS36" i="17" s="1"/>
  <c r="CX35" i="17"/>
  <c r="CW35" i="17"/>
  <c r="G431" i="8"/>
  <c r="H431" i="8"/>
  <c r="FG37" i="2"/>
  <c r="B18" i="7" s="1"/>
  <c r="NN37" i="2"/>
  <c r="BC36" i="6"/>
  <c r="FH37" i="2"/>
  <c r="EY37" i="2"/>
  <c r="H430" i="8"/>
  <c r="G430" i="8"/>
  <c r="NM37" i="2"/>
  <c r="E403" i="8" s="1"/>
  <c r="E433" i="8"/>
  <c r="B14" i="7"/>
  <c r="FF37" i="2"/>
  <c r="E277" i="8" s="1"/>
  <c r="E280" i="8" s="1"/>
  <c r="C10" i="7"/>
  <c r="F403" i="8"/>
  <c r="F405" i="8" s="1"/>
  <c r="W36" i="6"/>
  <c r="FE34" i="2"/>
  <c r="FE30" i="2"/>
  <c r="BB29" i="6"/>
  <c r="BB36" i="6" s="1"/>
  <c r="NK30" i="2"/>
  <c r="AB31" i="6"/>
  <c r="DM30" i="17" s="1"/>
  <c r="AB12" i="6"/>
  <c r="DM11" i="17" s="1"/>
  <c r="DP11" i="17" s="1"/>
  <c r="AB14" i="6"/>
  <c r="DM13" i="17" s="1"/>
  <c r="DP13" i="17" s="1"/>
  <c r="P13" i="17" s="1"/>
  <c r="AB15" i="6"/>
  <c r="DM14" i="17" s="1"/>
  <c r="DP14" i="17" s="1"/>
  <c r="P14" i="17" s="1"/>
  <c r="AB16" i="6"/>
  <c r="DM15" i="17" s="1"/>
  <c r="DP15" i="17" s="1"/>
  <c r="P15" i="17" s="1"/>
  <c r="AB17" i="6"/>
  <c r="DM16" i="17" s="1"/>
  <c r="DP16" i="17" s="1"/>
  <c r="P16" i="17" s="1"/>
  <c r="AB18" i="6"/>
  <c r="DM17" i="17" s="1"/>
  <c r="DP17" i="17" s="1"/>
  <c r="AB19" i="6"/>
  <c r="DM18" i="17" s="1"/>
  <c r="DP18" i="17" s="1"/>
  <c r="P18" i="17" s="1"/>
  <c r="AB20" i="6"/>
  <c r="DM19" i="17" s="1"/>
  <c r="DP19" i="17" s="1"/>
  <c r="P19" i="17" s="1"/>
  <c r="AB21" i="6"/>
  <c r="DM20" i="17" s="1"/>
  <c r="DP20" i="17" s="1"/>
  <c r="AB22" i="6"/>
  <c r="DM21" i="17" s="1"/>
  <c r="DP21" i="17" s="1"/>
  <c r="P21" i="17" s="1"/>
  <c r="AB23" i="6"/>
  <c r="DM22" i="17" s="1"/>
  <c r="DP22" i="17" s="1"/>
  <c r="P22" i="17" s="1"/>
  <c r="AB24" i="6"/>
  <c r="DM23" i="17" s="1"/>
  <c r="DP23" i="17" s="1"/>
  <c r="P23" i="17" s="1"/>
  <c r="AB25" i="6"/>
  <c r="DM24" i="17" s="1"/>
  <c r="DP24" i="17" s="1"/>
  <c r="P24" i="17" s="1"/>
  <c r="AB26" i="6"/>
  <c r="DM25" i="17" s="1"/>
  <c r="DP25" i="17" s="1"/>
  <c r="P25" i="17" s="1"/>
  <c r="AB27" i="6"/>
  <c r="DM26" i="17" s="1"/>
  <c r="DP26" i="17" s="1"/>
  <c r="P26" i="17" s="1"/>
  <c r="AB28" i="6"/>
  <c r="DM27" i="17" s="1"/>
  <c r="DP27" i="17" s="1"/>
  <c r="P27" i="17" s="1"/>
  <c r="AB11" i="6"/>
  <c r="DM10" i="17" s="1"/>
  <c r="FV34" i="2"/>
  <c r="FU34" i="2"/>
  <c r="FT33" i="2"/>
  <c r="FT32" i="2"/>
  <c r="FV30" i="2"/>
  <c r="FU30" i="2"/>
  <c r="FT29" i="2"/>
  <c r="FT28" i="2"/>
  <c r="FT27" i="2"/>
  <c r="FT26" i="2"/>
  <c r="FT25" i="2"/>
  <c r="FT24" i="2"/>
  <c r="FT23" i="2"/>
  <c r="FT22" i="2"/>
  <c r="FT21" i="2"/>
  <c r="FT20" i="2"/>
  <c r="FT19" i="2"/>
  <c r="FT18" i="2"/>
  <c r="FT17" i="2"/>
  <c r="FT16" i="2"/>
  <c r="FT15" i="2"/>
  <c r="FT14" i="2"/>
  <c r="FT13" i="2"/>
  <c r="FT12" i="2"/>
  <c r="G280" i="8" l="1"/>
  <c r="I6" i="16"/>
  <c r="E27" i="17"/>
  <c r="E23" i="17"/>
  <c r="E19" i="17"/>
  <c r="E15" i="17"/>
  <c r="E16" i="17"/>
  <c r="E25" i="17"/>
  <c r="E21" i="17"/>
  <c r="E13" i="17"/>
  <c r="E24" i="17"/>
  <c r="E26" i="17"/>
  <c r="E22" i="17"/>
  <c r="E18" i="17"/>
  <c r="E14" i="17"/>
  <c r="DA36" i="17"/>
  <c r="CW36" i="17"/>
  <c r="DP10" i="17"/>
  <c r="P10" i="17" s="1"/>
  <c r="DN30" i="17"/>
  <c r="E281" i="8"/>
  <c r="H281" i="8" s="1"/>
  <c r="I401" i="8"/>
  <c r="I404" i="8"/>
  <c r="E405" i="8"/>
  <c r="H405" i="8" s="1"/>
  <c r="I431" i="8"/>
  <c r="E434" i="8"/>
  <c r="H404" i="8"/>
  <c r="H401" i="8"/>
  <c r="H432" i="8"/>
  <c r="I430" i="8"/>
  <c r="B10" i="7"/>
  <c r="G277" i="8"/>
  <c r="I277" i="8" s="1"/>
  <c r="FE37" i="2"/>
  <c r="H435" i="8"/>
  <c r="H433" i="8"/>
  <c r="G433" i="8"/>
  <c r="H277" i="8"/>
  <c r="G403" i="8"/>
  <c r="G405" i="8" s="1"/>
  <c r="H403" i="8"/>
  <c r="FQ12" i="2"/>
  <c r="FT34" i="2"/>
  <c r="FQ28" i="2"/>
  <c r="FQ26" i="2"/>
  <c r="FQ20" i="2"/>
  <c r="FQ18" i="2"/>
  <c r="AC33" i="6"/>
  <c r="FQ24" i="2"/>
  <c r="FV37" i="2"/>
  <c r="FQ27" i="2"/>
  <c r="FQ25" i="2"/>
  <c r="FQ23" i="2"/>
  <c r="FQ21" i="2"/>
  <c r="FT30" i="2"/>
  <c r="FQ16" i="2"/>
  <c r="FU37" i="2"/>
  <c r="FU42" i="2" s="1"/>
  <c r="FQ29" i="2"/>
  <c r="FQ14" i="2"/>
  <c r="FQ22" i="2"/>
  <c r="FQ19" i="2"/>
  <c r="FQ17" i="2"/>
  <c r="FQ15" i="2"/>
  <c r="FQ13" i="2"/>
  <c r="AC29" i="6"/>
  <c r="FQ32" i="2"/>
  <c r="FV38" i="2" l="1"/>
  <c r="F217" i="8" s="1"/>
  <c r="F220" i="8" s="1"/>
  <c r="FV42" i="2"/>
  <c r="G6" i="16"/>
  <c r="G281" i="8"/>
  <c r="I281" i="8" s="1"/>
  <c r="E284" i="8"/>
  <c r="FU38" i="2"/>
  <c r="F213" i="8" s="1"/>
  <c r="F216" i="8" s="1"/>
  <c r="G434" i="8"/>
  <c r="H434" i="8"/>
  <c r="I432" i="8"/>
  <c r="I435" i="8"/>
  <c r="I433" i="8"/>
  <c r="FT37" i="2"/>
  <c r="I405" i="8"/>
  <c r="I403" i="8"/>
  <c r="AC36" i="6"/>
  <c r="FQ30" i="2"/>
  <c r="I218" i="8"/>
  <c r="H218" i="8"/>
  <c r="I214" i="8"/>
  <c r="H214" i="8"/>
  <c r="J213" i="8"/>
  <c r="J214" i="8" s="1"/>
  <c r="G284" i="8" l="1"/>
  <c r="C29" i="7"/>
  <c r="E10" i="17"/>
  <c r="I434" i="8"/>
  <c r="WM12" i="2" l="1"/>
  <c r="WN12" i="2"/>
  <c r="WM13" i="2"/>
  <c r="WN13" i="2"/>
  <c r="WM14" i="2"/>
  <c r="WN14" i="2"/>
  <c r="WM15" i="2"/>
  <c r="WN15" i="2"/>
  <c r="WM16" i="2"/>
  <c r="WN16" i="2"/>
  <c r="WM17" i="2"/>
  <c r="WN17" i="2"/>
  <c r="WM18" i="2"/>
  <c r="WN18" i="2"/>
  <c r="WM19" i="2"/>
  <c r="WN19" i="2"/>
  <c r="WM20" i="2"/>
  <c r="WN20" i="2"/>
  <c r="WM21" i="2"/>
  <c r="WN21" i="2"/>
  <c r="WM22" i="2"/>
  <c r="WN22" i="2"/>
  <c r="WM23" i="2"/>
  <c r="WN23" i="2"/>
  <c r="WM24" i="2"/>
  <c r="WN24" i="2"/>
  <c r="WM25" i="2"/>
  <c r="WN25" i="2"/>
  <c r="WM26" i="2"/>
  <c r="WN26" i="2"/>
  <c r="WM27" i="2"/>
  <c r="WN27" i="2"/>
  <c r="WM28" i="2"/>
  <c r="WN28" i="2"/>
  <c r="WM29" i="2"/>
  <c r="WN29" i="2"/>
  <c r="WM31" i="2"/>
  <c r="WN31" i="2"/>
  <c r="WM32" i="2"/>
  <c r="WN32" i="2"/>
  <c r="WM33" i="2"/>
  <c r="WN33" i="2"/>
  <c r="WM35" i="2"/>
  <c r="WN35" i="2"/>
  <c r="WM36" i="2"/>
  <c r="WN36" i="2"/>
  <c r="WA12" i="2"/>
  <c r="WB12" i="2"/>
  <c r="WI12" i="2"/>
  <c r="WJ12" i="2"/>
  <c r="WA13" i="2"/>
  <c r="WB13" i="2"/>
  <c r="WI13" i="2"/>
  <c r="WJ13" i="2"/>
  <c r="WA14" i="2"/>
  <c r="WB14" i="2"/>
  <c r="WI14" i="2"/>
  <c r="WJ14" i="2"/>
  <c r="WA15" i="2"/>
  <c r="WB15" i="2"/>
  <c r="WI15" i="2"/>
  <c r="WJ15" i="2"/>
  <c r="WA16" i="2"/>
  <c r="WB16" i="2"/>
  <c r="WI16" i="2"/>
  <c r="WJ16" i="2"/>
  <c r="WA17" i="2"/>
  <c r="WB17" i="2"/>
  <c r="WI17" i="2"/>
  <c r="WJ17" i="2"/>
  <c r="WA18" i="2"/>
  <c r="WB18" i="2"/>
  <c r="WI18" i="2"/>
  <c r="WJ18" i="2"/>
  <c r="WA19" i="2"/>
  <c r="WB19" i="2"/>
  <c r="WI19" i="2"/>
  <c r="WJ19" i="2"/>
  <c r="WA20" i="2"/>
  <c r="WB20" i="2"/>
  <c r="WI20" i="2"/>
  <c r="WJ20" i="2"/>
  <c r="WA21" i="2"/>
  <c r="WB21" i="2"/>
  <c r="WI21" i="2"/>
  <c r="WJ21" i="2"/>
  <c r="WA22" i="2"/>
  <c r="WB22" i="2"/>
  <c r="WI22" i="2"/>
  <c r="WJ22" i="2"/>
  <c r="WA23" i="2"/>
  <c r="WB23" i="2"/>
  <c r="WI23" i="2"/>
  <c r="WJ23" i="2"/>
  <c r="WA24" i="2"/>
  <c r="WB24" i="2"/>
  <c r="WI24" i="2"/>
  <c r="WJ24" i="2"/>
  <c r="WA25" i="2"/>
  <c r="WB25" i="2"/>
  <c r="WI25" i="2"/>
  <c r="WJ25" i="2"/>
  <c r="WA26" i="2"/>
  <c r="WB26" i="2"/>
  <c r="WI26" i="2"/>
  <c r="WJ26" i="2"/>
  <c r="WA27" i="2"/>
  <c r="WB27" i="2"/>
  <c r="WI27" i="2"/>
  <c r="WJ27" i="2"/>
  <c r="WA28" i="2"/>
  <c r="WB28" i="2"/>
  <c r="WI28" i="2"/>
  <c r="WJ28" i="2"/>
  <c r="WA29" i="2"/>
  <c r="WB29" i="2"/>
  <c r="WI29" i="2"/>
  <c r="WJ29" i="2"/>
  <c r="VW30" i="2"/>
  <c r="VX30" i="2"/>
  <c r="VY30" i="2"/>
  <c r="VZ30" i="2"/>
  <c r="WA30" i="2"/>
  <c r="WB30" i="2"/>
  <c r="WC30" i="2"/>
  <c r="WD30" i="2"/>
  <c r="WE30" i="2"/>
  <c r="WF30" i="2"/>
  <c r="WG30" i="2"/>
  <c r="WH30" i="2"/>
  <c r="WK30" i="2"/>
  <c r="WL30" i="2"/>
  <c r="VU32" i="2"/>
  <c r="VV32" i="2"/>
  <c r="VU33" i="2"/>
  <c r="VV33" i="2"/>
  <c r="VW34" i="2"/>
  <c r="VX34" i="2"/>
  <c r="VY34" i="2"/>
  <c r="VZ34" i="2"/>
  <c r="WA34" i="2"/>
  <c r="WB34" i="2"/>
  <c r="WC34" i="2"/>
  <c r="WD34" i="2"/>
  <c r="WE34" i="2"/>
  <c r="WF34" i="2"/>
  <c r="WG34" i="2"/>
  <c r="WH34" i="2"/>
  <c r="WI34" i="2"/>
  <c r="WJ34" i="2"/>
  <c r="WK34" i="2"/>
  <c r="WL34" i="2"/>
  <c r="US30" i="2"/>
  <c r="UZ30" i="2"/>
  <c r="VG30" i="2"/>
  <c r="VS30" i="2"/>
  <c r="VJ32" i="2"/>
  <c r="VI32" i="2" s="1"/>
  <c r="VJ33" i="2"/>
  <c r="VI33" i="2" s="1"/>
  <c r="US34" i="2"/>
  <c r="UZ34" i="2"/>
  <c r="VD34" i="2"/>
  <c r="VG34" i="2"/>
  <c r="VP34" i="2"/>
  <c r="VS34" i="2"/>
  <c r="TA12" i="2"/>
  <c r="TC12" i="2"/>
  <c r="TE12" i="2"/>
  <c r="TA13" i="2"/>
  <c r="TE13" i="2"/>
  <c r="TA14" i="2"/>
  <c r="TE14" i="2"/>
  <c r="TA15" i="2"/>
  <c r="TE15" i="2"/>
  <c r="TA16" i="2"/>
  <c r="SL16" i="2" s="1"/>
  <c r="TE16" i="2"/>
  <c r="SY17" i="2"/>
  <c r="TA17" i="2"/>
  <c r="TE17" i="2"/>
  <c r="TA18" i="2"/>
  <c r="TE18" i="2"/>
  <c r="SY19" i="2"/>
  <c r="TA19" i="2"/>
  <c r="SL19" i="2" s="1"/>
  <c r="TE19" i="2"/>
  <c r="TA20" i="2"/>
  <c r="TE20" i="2"/>
  <c r="TA21" i="2"/>
  <c r="SL21" i="2" s="1"/>
  <c r="TE21" i="2"/>
  <c r="TA22" i="2"/>
  <c r="TE22" i="2"/>
  <c r="TA23" i="2"/>
  <c r="SL23" i="2" s="1"/>
  <c r="TE23" i="2"/>
  <c r="TA24" i="2"/>
  <c r="TE24" i="2"/>
  <c r="TA25" i="2"/>
  <c r="SL25" i="2" s="1"/>
  <c r="TE25" i="2"/>
  <c r="TA26" i="2"/>
  <c r="TE26" i="2"/>
  <c r="TA27" i="2"/>
  <c r="SL27" i="2" s="1"/>
  <c r="TE27" i="2"/>
  <c r="TA28" i="2"/>
  <c r="TE28" i="2"/>
  <c r="TA29" i="2"/>
  <c r="SL29" i="2" s="1"/>
  <c r="TE29" i="2"/>
  <c r="TB30" i="2"/>
  <c r="TF30" i="2"/>
  <c r="TA32" i="2"/>
  <c r="TC32" i="2"/>
  <c r="TE32" i="2"/>
  <c r="TC33" i="2"/>
  <c r="TE33" i="2"/>
  <c r="TD34" i="2"/>
  <c r="TF34" i="2"/>
  <c r="SH12" i="2"/>
  <c r="RK30" i="2"/>
  <c r="RS30" i="2"/>
  <c r="SG30" i="2"/>
  <c r="RJ30" i="2"/>
  <c r="RL30" i="2"/>
  <c r="RD46" i="2"/>
  <c r="RD48" i="2" s="1"/>
  <c r="RP30" i="2"/>
  <c r="RR30" i="2"/>
  <c r="RT30" i="2"/>
  <c r="RV30" i="2"/>
  <c r="SI30" i="2"/>
  <c r="RQ34" i="2"/>
  <c r="SG34" i="2"/>
  <c r="RJ34" i="2"/>
  <c r="RL34" i="2"/>
  <c r="RN34" i="2"/>
  <c r="RP34" i="2"/>
  <c r="RR34" i="2"/>
  <c r="RT34" i="2"/>
  <c r="RV34" i="2"/>
  <c r="SI34" i="2"/>
  <c r="SJ34" i="2"/>
  <c r="QU34" i="2"/>
  <c r="QV34" i="2"/>
  <c r="QW34" i="2"/>
  <c r="QX34" i="2"/>
  <c r="QY34" i="2"/>
  <c r="QZ34" i="2"/>
  <c r="LV12" i="2"/>
  <c r="LW12" i="2"/>
  <c r="LV13" i="2"/>
  <c r="LW13" i="2"/>
  <c r="LV14" i="2"/>
  <c r="LW14" i="2"/>
  <c r="LV15" i="2"/>
  <c r="LW15" i="2"/>
  <c r="LV16" i="2"/>
  <c r="LW16" i="2"/>
  <c r="LV17" i="2"/>
  <c r="LW17" i="2"/>
  <c r="LV18" i="2"/>
  <c r="LW18" i="2"/>
  <c r="LV19" i="2"/>
  <c r="LW19" i="2"/>
  <c r="LV20" i="2"/>
  <c r="LW20" i="2"/>
  <c r="LV21" i="2"/>
  <c r="LW21" i="2"/>
  <c r="LV22" i="2"/>
  <c r="LW22" i="2"/>
  <c r="LV23" i="2"/>
  <c r="LW23" i="2"/>
  <c r="LV24" i="2"/>
  <c r="LW24" i="2"/>
  <c r="LV25" i="2"/>
  <c r="LW25" i="2"/>
  <c r="LV26" i="2"/>
  <c r="LW26" i="2"/>
  <c r="LV27" i="2"/>
  <c r="LW27" i="2"/>
  <c r="LV28" i="2"/>
  <c r="LW28" i="2"/>
  <c r="LV29" i="2"/>
  <c r="LW29" i="2"/>
  <c r="MD30" i="2"/>
  <c r="ME30" i="2"/>
  <c r="LQ34" i="2"/>
  <c r="LR34" i="2"/>
  <c r="LS34" i="2"/>
  <c r="LU34" i="2"/>
  <c r="LV34" i="2"/>
  <c r="LW34" i="2"/>
  <c r="LY34" i="2"/>
  <c r="LZ34" i="2"/>
  <c r="MA34" i="2"/>
  <c r="MC34" i="2"/>
  <c r="MD34" i="2"/>
  <c r="ME34" i="2"/>
  <c r="LS13" i="2"/>
  <c r="LR14" i="2"/>
  <c r="LS14" i="2"/>
  <c r="LR15" i="2"/>
  <c r="LS17" i="2"/>
  <c r="LR18" i="2"/>
  <c r="LS18" i="2"/>
  <c r="LR19" i="2"/>
  <c r="LS21" i="2"/>
  <c r="LR22" i="2"/>
  <c r="LS22" i="2"/>
  <c r="LR23" i="2"/>
  <c r="LS25" i="2"/>
  <c r="LR26" i="2"/>
  <c r="LS26" i="2"/>
  <c r="LR27" i="2"/>
  <c r="LS29" i="2"/>
  <c r="LN30" i="2"/>
  <c r="LO30" i="2"/>
  <c r="LI34" i="2"/>
  <c r="LJ34" i="2"/>
  <c r="LK34" i="2"/>
  <c r="LM34" i="2"/>
  <c r="LN34" i="2"/>
  <c r="LO34" i="2"/>
  <c r="LE12" i="2"/>
  <c r="LE13" i="2"/>
  <c r="LE14" i="2"/>
  <c r="LF30" i="2"/>
  <c r="LG30" i="2"/>
  <c r="LF34" i="2"/>
  <c r="LG34" i="2"/>
  <c r="CD30" i="2"/>
  <c r="CN30" i="2"/>
  <c r="CD34" i="2"/>
  <c r="CI34" i="2"/>
  <c r="CN34" i="2"/>
  <c r="SL12" i="2" l="1"/>
  <c r="SL14" i="2"/>
  <c r="SL28" i="2"/>
  <c r="SL26" i="2"/>
  <c r="SL32" i="2"/>
  <c r="SL24" i="2"/>
  <c r="SL17" i="2"/>
  <c r="SL18" i="2"/>
  <c r="SL22" i="2"/>
  <c r="SL20" i="2"/>
  <c r="SL15" i="2"/>
  <c r="SL13" i="2"/>
  <c r="MD37" i="2"/>
  <c r="VI34" i="2"/>
  <c r="AV11" i="1"/>
  <c r="AV12" i="1"/>
  <c r="AV28" i="1"/>
  <c r="AV27" i="1"/>
  <c r="AV26" i="1"/>
  <c r="AV25" i="1"/>
  <c r="AV24" i="1"/>
  <c r="AV23" i="1"/>
  <c r="AV22" i="1"/>
  <c r="AV21" i="1"/>
  <c r="AV20" i="1"/>
  <c r="AV19" i="1"/>
  <c r="AV18" i="1"/>
  <c r="AV17" i="1"/>
  <c r="AV16" i="1"/>
  <c r="AV15" i="1"/>
  <c r="AV14" i="1"/>
  <c r="AV13" i="1"/>
  <c r="R11" i="1"/>
  <c r="TF37" i="2"/>
  <c r="RV37" i="2"/>
  <c r="RV38" i="2" s="1"/>
  <c r="RN37" i="2"/>
  <c r="RN38" i="2" s="1"/>
  <c r="LU29" i="2"/>
  <c r="LU28" i="2"/>
  <c r="LU27" i="2"/>
  <c r="LU26" i="2"/>
  <c r="LU25" i="2"/>
  <c r="LU24" i="2"/>
  <c r="LU23" i="2"/>
  <c r="LU22" i="2"/>
  <c r="LU21" i="2"/>
  <c r="LU20" i="2"/>
  <c r="LU19" i="2"/>
  <c r="LU18" i="2"/>
  <c r="LU17" i="2"/>
  <c r="LU16" i="2"/>
  <c r="LU15" i="2"/>
  <c r="LU14" i="2"/>
  <c r="LU12" i="2"/>
  <c r="LE30" i="2"/>
  <c r="LE37" i="2" s="1"/>
  <c r="TJ17" i="2"/>
  <c r="TH17" i="2" s="1"/>
  <c r="TJ29" i="2"/>
  <c r="TH29" i="2" s="1"/>
  <c r="TJ27" i="2"/>
  <c r="TH27" i="2" s="1"/>
  <c r="TJ25" i="2"/>
  <c r="TH25" i="2" s="1"/>
  <c r="TJ23" i="2"/>
  <c r="TH23" i="2" s="1"/>
  <c r="TJ21" i="2"/>
  <c r="TH21" i="2" s="1"/>
  <c r="TJ19" i="2"/>
  <c r="TH19" i="2" s="1"/>
  <c r="TJ16" i="2"/>
  <c r="TH16" i="2" s="1"/>
  <c r="TJ14" i="2"/>
  <c r="TH14" i="2" s="1"/>
  <c r="TJ12" i="2"/>
  <c r="TH12" i="2" s="1"/>
  <c r="TJ18" i="2"/>
  <c r="TH18" i="2" s="1"/>
  <c r="TJ28" i="2"/>
  <c r="TH28" i="2" s="1"/>
  <c r="TJ26" i="2"/>
  <c r="TH26" i="2" s="1"/>
  <c r="TJ24" i="2"/>
  <c r="TH24" i="2" s="1"/>
  <c r="TJ22" i="2"/>
  <c r="TH22" i="2" s="1"/>
  <c r="TJ20" i="2"/>
  <c r="TH20" i="2" s="1"/>
  <c r="TJ15" i="2"/>
  <c r="TH15" i="2" s="1"/>
  <c r="TJ13" i="2"/>
  <c r="TH13" i="2" s="1"/>
  <c r="TI12" i="2"/>
  <c r="TG12" i="2" s="1"/>
  <c r="WN34" i="2"/>
  <c r="WB37" i="2"/>
  <c r="VV29" i="2"/>
  <c r="VV27" i="2"/>
  <c r="VV25" i="2"/>
  <c r="VV23" i="2"/>
  <c r="VV21" i="2"/>
  <c r="VV19" i="2"/>
  <c r="VV17" i="2"/>
  <c r="VV15" i="2"/>
  <c r="VV13" i="2"/>
  <c r="ME37" i="2"/>
  <c r="WE37" i="2"/>
  <c r="LN37" i="2"/>
  <c r="LF37" i="2"/>
  <c r="SH34" i="2"/>
  <c r="RL37" i="2"/>
  <c r="VS37" i="2"/>
  <c r="SJ37" i="2"/>
  <c r="SJ38" i="2" s="1"/>
  <c r="RJ37" i="2"/>
  <c r="TE34" i="2"/>
  <c r="RP37" i="2"/>
  <c r="RP38" i="2" s="1"/>
  <c r="WM30" i="2"/>
  <c r="VW37" i="2"/>
  <c r="LS28" i="2"/>
  <c r="LS24" i="2"/>
  <c r="LS20" i="2"/>
  <c r="LS16" i="2"/>
  <c r="LS12" i="2"/>
  <c r="TC34" i="2"/>
  <c r="TJ34" i="2"/>
  <c r="TA30" i="2"/>
  <c r="VX37" i="2"/>
  <c r="LV30" i="2"/>
  <c r="LV37" i="2" s="1"/>
  <c r="LR28" i="2"/>
  <c r="LS27" i="2"/>
  <c r="LS23" i="2"/>
  <c r="LQ23" i="2" s="1"/>
  <c r="LQ22" i="2"/>
  <c r="LS19" i="2"/>
  <c r="LQ19" i="2" s="1"/>
  <c r="LQ18" i="2"/>
  <c r="LS15" i="2"/>
  <c r="LQ14" i="2"/>
  <c r="VP30" i="2"/>
  <c r="VP37" i="2" s="1"/>
  <c r="VJ27" i="2"/>
  <c r="VI27" i="2" s="1"/>
  <c r="VJ17" i="2"/>
  <c r="VI17" i="2" s="1"/>
  <c r="TE30" i="2"/>
  <c r="VG37" i="2"/>
  <c r="RR37" i="2"/>
  <c r="RR38" i="2" s="1"/>
  <c r="VJ28" i="2"/>
  <c r="VI28" i="2" s="1"/>
  <c r="VJ26" i="2"/>
  <c r="VI26" i="2" s="1"/>
  <c r="VJ20" i="2"/>
  <c r="VI20" i="2" s="1"/>
  <c r="WM34" i="2"/>
  <c r="WA37" i="2"/>
  <c r="VU29" i="2"/>
  <c r="VU27" i="2"/>
  <c r="VU25" i="2"/>
  <c r="VU23" i="2"/>
  <c r="VU21" i="2"/>
  <c r="VU19" i="2"/>
  <c r="VU17" i="2"/>
  <c r="VU15" i="2"/>
  <c r="VU13" i="2"/>
  <c r="WF37" i="2"/>
  <c r="VJ34" i="2"/>
  <c r="UZ37" i="2"/>
  <c r="WI30" i="2"/>
  <c r="WI37" i="2" s="1"/>
  <c r="WJ30" i="2"/>
  <c r="WJ37" i="2" s="1"/>
  <c r="VF34" i="2"/>
  <c r="US37" i="2"/>
  <c r="WN30" i="2"/>
  <c r="VJ16" i="2"/>
  <c r="VI16" i="2" s="1"/>
  <c r="VU34" i="2"/>
  <c r="SZ30" i="2"/>
  <c r="SY22" i="2"/>
  <c r="TC17" i="2"/>
  <c r="TI17" i="2" s="1"/>
  <c r="TG17" i="2" s="1"/>
  <c r="VJ25" i="2"/>
  <c r="VI25" i="2" s="1"/>
  <c r="SY27" i="2"/>
  <c r="VJ24" i="2"/>
  <c r="VI24" i="2" s="1"/>
  <c r="VJ22" i="2"/>
  <c r="VI22" i="2" s="1"/>
  <c r="VJ15" i="2"/>
  <c r="VI15" i="2" s="1"/>
  <c r="SY25" i="2"/>
  <c r="SY23" i="2"/>
  <c r="SY21" i="2"/>
  <c r="TC20" i="2"/>
  <c r="TI20" i="2" s="1"/>
  <c r="TG20" i="2" s="1"/>
  <c r="SY14" i="2"/>
  <c r="LZ30" i="2"/>
  <c r="LZ37" i="2" s="1"/>
  <c r="VJ23" i="2"/>
  <c r="VI23" i="2" s="1"/>
  <c r="VJ18" i="2"/>
  <c r="VI18" i="2" s="1"/>
  <c r="RM34" i="2"/>
  <c r="RQ30" i="2"/>
  <c r="RQ37" i="2" s="1"/>
  <c r="TC28" i="2"/>
  <c r="TI28" i="2" s="1"/>
  <c r="TG28" i="2" s="1"/>
  <c r="VJ29" i="2"/>
  <c r="VI29" i="2" s="1"/>
  <c r="VJ21" i="2"/>
  <c r="VI21" i="2" s="1"/>
  <c r="VJ14" i="2"/>
  <c r="VI14" i="2" s="1"/>
  <c r="SY32" i="2"/>
  <c r="SK32" i="2" s="1"/>
  <c r="TD30" i="2"/>
  <c r="TD37" i="2" s="1"/>
  <c r="VV34" i="2"/>
  <c r="VD30" i="2"/>
  <c r="VD37" i="2" s="1"/>
  <c r="UO30" i="2"/>
  <c r="WK37" i="2"/>
  <c r="WG37" i="2"/>
  <c r="WC37" i="2"/>
  <c r="VY37" i="2"/>
  <c r="VU28" i="2"/>
  <c r="VU26" i="2"/>
  <c r="VU24" i="2"/>
  <c r="VU22" i="2"/>
  <c r="VU20" i="2"/>
  <c r="VU18" i="2"/>
  <c r="VU16" i="2"/>
  <c r="VU14" i="2"/>
  <c r="VU12" i="2"/>
  <c r="TC24" i="2"/>
  <c r="TI24" i="2" s="1"/>
  <c r="TG24" i="2" s="1"/>
  <c r="VJ19" i="2"/>
  <c r="VI19" i="2" s="1"/>
  <c r="WL37" i="2"/>
  <c r="WH37" i="2"/>
  <c r="WD37" i="2"/>
  <c r="VZ37" i="2"/>
  <c r="VV28" i="2"/>
  <c r="VV26" i="2"/>
  <c r="VV24" i="2"/>
  <c r="VV22" i="2"/>
  <c r="VV20" i="2"/>
  <c r="VV18" i="2"/>
  <c r="VV16" i="2"/>
  <c r="VV14" i="2"/>
  <c r="VV12" i="2"/>
  <c r="SY15" i="2"/>
  <c r="SY13" i="2"/>
  <c r="VR34" i="2"/>
  <c r="VF30" i="2"/>
  <c r="SY29" i="2"/>
  <c r="SY18" i="2"/>
  <c r="TC13" i="2"/>
  <c r="TI13" i="2" s="1"/>
  <c r="TG13" i="2" s="1"/>
  <c r="UO34" i="2"/>
  <c r="VR30" i="2"/>
  <c r="TC26" i="2"/>
  <c r="TI26" i="2" s="1"/>
  <c r="TG26" i="2" s="1"/>
  <c r="SY26" i="2"/>
  <c r="TC16" i="2"/>
  <c r="TI16" i="2" s="1"/>
  <c r="TG16" i="2" s="1"/>
  <c r="TI34" i="2"/>
  <c r="SY28" i="2"/>
  <c r="TC27" i="2"/>
  <c r="TI27" i="2" s="1"/>
  <c r="TG27" i="2" s="1"/>
  <c r="SY24" i="2"/>
  <c r="TC23" i="2"/>
  <c r="TI23" i="2" s="1"/>
  <c r="TG23" i="2" s="1"/>
  <c r="SY20" i="2"/>
  <c r="TC19" i="2"/>
  <c r="TI19" i="2" s="1"/>
  <c r="TG19" i="2" s="1"/>
  <c r="SY16" i="2"/>
  <c r="TC15" i="2"/>
  <c r="TI15" i="2" s="1"/>
  <c r="TG15" i="2" s="1"/>
  <c r="SY12" i="2"/>
  <c r="TC29" i="2"/>
  <c r="TI29" i="2" s="1"/>
  <c r="TG29" i="2" s="1"/>
  <c r="TC22" i="2"/>
  <c r="TI22" i="2" s="1"/>
  <c r="TG22" i="2" s="1"/>
  <c r="TC18" i="2"/>
  <c r="TI18" i="2" s="1"/>
  <c r="TG18" i="2" s="1"/>
  <c r="TC14" i="2"/>
  <c r="TI14" i="2" s="1"/>
  <c r="TG14" i="2" s="1"/>
  <c r="TC25" i="2"/>
  <c r="TI25" i="2" s="1"/>
  <c r="TG25" i="2" s="1"/>
  <c r="TC21" i="2"/>
  <c r="TI21" i="2" s="1"/>
  <c r="TG21" i="2" s="1"/>
  <c r="VJ13" i="2"/>
  <c r="VI13" i="2" s="1"/>
  <c r="VJ12" i="2"/>
  <c r="VI12" i="2" s="1"/>
  <c r="RO30" i="2"/>
  <c r="SH30" i="2"/>
  <c r="RI30" i="2"/>
  <c r="RI34" i="2"/>
  <c r="SI37" i="2"/>
  <c r="RT37" i="2"/>
  <c r="RT38" i="2" s="1"/>
  <c r="RU34" i="2"/>
  <c r="SG37" i="2"/>
  <c r="RF30" i="2"/>
  <c r="RS34" i="2"/>
  <c r="RS37" i="2" s="1"/>
  <c r="RK34" i="2"/>
  <c r="RK37" i="2" s="1"/>
  <c r="RF34" i="2"/>
  <c r="SF34" i="2"/>
  <c r="RO34" i="2"/>
  <c r="SF30" i="2"/>
  <c r="RU30" i="2"/>
  <c r="RM30" i="2"/>
  <c r="SE12" i="2"/>
  <c r="MA30" i="2"/>
  <c r="MA37" i="2" s="1"/>
  <c r="LW30" i="2"/>
  <c r="LW37" i="2" s="1"/>
  <c r="LO37" i="2"/>
  <c r="LR29" i="2"/>
  <c r="LR25" i="2"/>
  <c r="LR24" i="2"/>
  <c r="LR21" i="2"/>
  <c r="LR20" i="2"/>
  <c r="LR17" i="2"/>
  <c r="LR16" i="2"/>
  <c r="LR13" i="2"/>
  <c r="LR12" i="2"/>
  <c r="LK30" i="2"/>
  <c r="LK37" i="2" s="1"/>
  <c r="LG37" i="2"/>
  <c r="CD37" i="2"/>
  <c r="CN37" i="2"/>
  <c r="LJ30" i="2"/>
  <c r="LJ37" i="2" s="1"/>
  <c r="CI30" i="2"/>
  <c r="CI37" i="2" s="1"/>
  <c r="SK12" i="2" l="1"/>
  <c r="SK16" i="2"/>
  <c r="SK20" i="2"/>
  <c r="AD14" i="1"/>
  <c r="AD15" i="1"/>
  <c r="SK28" i="2"/>
  <c r="AD27" i="1"/>
  <c r="SK24" i="2"/>
  <c r="SK18" i="2"/>
  <c r="SK13" i="2"/>
  <c r="SK14" i="2"/>
  <c r="SK25" i="2"/>
  <c r="SK27" i="2"/>
  <c r="SK19" i="2"/>
  <c r="SK26" i="2"/>
  <c r="SK23" i="2"/>
  <c r="SK22" i="2"/>
  <c r="SK17" i="2"/>
  <c r="SK21" i="2"/>
  <c r="SK15" i="2"/>
  <c r="AD13" i="1"/>
  <c r="VI30" i="2"/>
  <c r="VI37" i="2" s="1"/>
  <c r="BH28" i="1"/>
  <c r="BH20" i="1"/>
  <c r="BH21" i="1"/>
  <c r="BH17" i="1"/>
  <c r="BH15" i="1"/>
  <c r="BH23" i="1"/>
  <c r="BH16" i="1"/>
  <c r="BH25" i="1"/>
  <c r="BH13" i="1"/>
  <c r="BH22" i="1"/>
  <c r="BH11" i="1"/>
  <c r="BH18" i="1"/>
  <c r="BH26" i="1"/>
  <c r="BH14" i="1"/>
  <c r="BH24" i="1"/>
  <c r="BH12" i="1"/>
  <c r="BH19" i="1"/>
  <c r="BH27" i="1"/>
  <c r="AD16" i="1"/>
  <c r="AD22" i="1"/>
  <c r="AD26" i="1"/>
  <c r="AD19" i="1"/>
  <c r="AD25" i="1"/>
  <c r="AD23" i="1"/>
  <c r="AD18" i="1"/>
  <c r="AD21" i="1"/>
  <c r="R23" i="1"/>
  <c r="AD11" i="1"/>
  <c r="R14" i="1"/>
  <c r="R16" i="1"/>
  <c r="R20" i="1"/>
  <c r="R24" i="1"/>
  <c r="AD20" i="1"/>
  <c r="AD24" i="1"/>
  <c r="R18" i="1"/>
  <c r="R22" i="1"/>
  <c r="R26" i="1"/>
  <c r="AD12" i="1"/>
  <c r="AD17" i="1"/>
  <c r="R13" i="1"/>
  <c r="R15" i="1"/>
  <c r="R17" i="1"/>
  <c r="R19" i="1"/>
  <c r="R21" i="1"/>
  <c r="R25" i="1"/>
  <c r="R27" i="1"/>
  <c r="R12" i="1"/>
  <c r="LQ16" i="2"/>
  <c r="LQ20" i="2"/>
  <c r="LQ21" i="2"/>
  <c r="UZ38" i="2"/>
  <c r="LQ24" i="2"/>
  <c r="LQ25" i="2"/>
  <c r="US38" i="2"/>
  <c r="E28" i="11" s="1"/>
  <c r="TG34" i="2"/>
  <c r="TE37" i="2"/>
  <c r="VW38" i="2"/>
  <c r="VW41" i="2" s="1"/>
  <c r="VF37" i="2"/>
  <c r="WM37" i="2"/>
  <c r="WN37" i="2"/>
  <c r="SH37" i="2"/>
  <c r="RB47" i="2" s="1"/>
  <c r="RB48" i="2" s="1"/>
  <c r="WE38" i="2"/>
  <c r="WE41" i="2" s="1"/>
  <c r="RM37" i="2"/>
  <c r="VR37" i="2"/>
  <c r="VX38" i="2"/>
  <c r="VX41" i="2" s="1"/>
  <c r="LS30" i="2"/>
  <c r="LS37" i="2" s="1"/>
  <c r="UO37" i="2"/>
  <c r="WF38" i="2"/>
  <c r="WF41" i="2" s="1"/>
  <c r="TH34" i="2"/>
  <c r="VU30" i="2"/>
  <c r="VU37" i="2" s="1"/>
  <c r="SY30" i="2"/>
  <c r="SE34" i="2"/>
  <c r="TC30" i="2"/>
  <c r="TC37" i="2" s="1"/>
  <c r="VV30" i="2"/>
  <c r="VV37" i="2" s="1"/>
  <c r="TJ30" i="2"/>
  <c r="TJ37" i="2" s="1"/>
  <c r="TI30" i="2"/>
  <c r="TI37" i="2" s="1"/>
  <c r="RI37" i="2"/>
  <c r="RO37" i="2"/>
  <c r="RE47" i="2" s="1"/>
  <c r="RE48" i="2" s="1"/>
  <c r="VJ30" i="2"/>
  <c r="VJ37" i="2" s="1"/>
  <c r="RU37" i="2"/>
  <c r="TH30" i="2"/>
  <c r="RA46" i="2"/>
  <c r="RA48" i="2" s="1"/>
  <c r="RF37" i="2"/>
  <c r="SF37" i="2"/>
  <c r="SE30" i="2"/>
  <c r="CD38" i="2"/>
  <c r="CD42" i="2" s="1"/>
  <c r="LR30" i="2"/>
  <c r="LR37" i="2" s="1"/>
  <c r="F28" i="11" l="1"/>
  <c r="F26" i="11" s="1"/>
  <c r="UZ42" i="2"/>
  <c r="SL47" i="2"/>
  <c r="SL46" i="2"/>
  <c r="G28" i="11"/>
  <c r="TH37" i="2"/>
  <c r="SL48" i="2" s="1"/>
  <c r="SE37" i="2"/>
  <c r="TG30" i="2"/>
  <c r="TG37" i="2" s="1"/>
  <c r="H28" i="11" l="1"/>
  <c r="SL49" i="2"/>
  <c r="I28" i="11"/>
  <c r="S32" i="6" l="1"/>
  <c r="CC31" i="17" s="1"/>
  <c r="CD31" i="17" s="1"/>
  <c r="S31" i="6"/>
  <c r="CC30" i="17" s="1"/>
  <c r="S12" i="6"/>
  <c r="CC11" i="17" s="1"/>
  <c r="CD11" i="17" s="1"/>
  <c r="S13" i="6"/>
  <c r="CC12" i="17" s="1"/>
  <c r="CD12" i="17" s="1"/>
  <c r="S14" i="6"/>
  <c r="CC13" i="17" s="1"/>
  <c r="CD13" i="17" s="1"/>
  <c r="S15" i="6"/>
  <c r="CC14" i="17" s="1"/>
  <c r="CD14" i="17" s="1"/>
  <c r="S16" i="6"/>
  <c r="CC15" i="17" s="1"/>
  <c r="CD15" i="17" s="1"/>
  <c r="S17" i="6"/>
  <c r="CC16" i="17" s="1"/>
  <c r="CD16" i="17" s="1"/>
  <c r="S18" i="6"/>
  <c r="CC17" i="17" s="1"/>
  <c r="CD17" i="17" s="1"/>
  <c r="S19" i="6"/>
  <c r="CC18" i="17" s="1"/>
  <c r="CD18" i="17" s="1"/>
  <c r="S20" i="6"/>
  <c r="CC19" i="17" s="1"/>
  <c r="CD19" i="17" s="1"/>
  <c r="S21" i="6"/>
  <c r="CC20" i="17" s="1"/>
  <c r="CD20" i="17" s="1"/>
  <c r="S22" i="6"/>
  <c r="CC21" i="17" s="1"/>
  <c r="CD21" i="17" s="1"/>
  <c r="S23" i="6"/>
  <c r="CC22" i="17" s="1"/>
  <c r="CD22" i="17" s="1"/>
  <c r="S24" i="6"/>
  <c r="CC23" i="17" s="1"/>
  <c r="CD23" i="17" s="1"/>
  <c r="S25" i="6"/>
  <c r="CC24" i="17" s="1"/>
  <c r="CD24" i="17" s="1"/>
  <c r="S26" i="6"/>
  <c r="CC25" i="17" s="1"/>
  <c r="CD25" i="17" s="1"/>
  <c r="S27" i="6"/>
  <c r="CC26" i="17" s="1"/>
  <c r="CD26" i="17" s="1"/>
  <c r="S28" i="6"/>
  <c r="CC27" i="17" s="1"/>
  <c r="CD27" i="17" s="1"/>
  <c r="S11" i="6"/>
  <c r="CC10" i="17" s="1"/>
  <c r="CD10" i="17" l="1"/>
  <c r="CD28" i="17" s="1"/>
  <c r="CC28" i="17"/>
  <c r="CC32" i="17"/>
  <c r="CD30" i="17"/>
  <c r="CD32" i="17" s="1"/>
  <c r="ER33" i="2"/>
  <c r="ER32" i="2"/>
  <c r="ER29" i="2"/>
  <c r="ER28" i="2"/>
  <c r="ER27" i="2"/>
  <c r="ER26" i="2"/>
  <c r="ER25" i="2"/>
  <c r="ER24" i="2"/>
  <c r="ER23" i="2"/>
  <c r="ER22" i="2"/>
  <c r="ER21" i="2"/>
  <c r="ER20" i="2"/>
  <c r="ER19" i="2"/>
  <c r="ER18" i="2"/>
  <c r="ER17" i="2"/>
  <c r="ER16" i="2"/>
  <c r="ER15" i="2"/>
  <c r="ER14" i="2"/>
  <c r="ER13" i="2"/>
  <c r="ER12" i="2"/>
  <c r="EV34" i="2"/>
  <c r="EU34" i="2"/>
  <c r="EV30" i="2"/>
  <c r="EU30" i="2"/>
  <c r="ES30" i="2"/>
  <c r="ET30" i="2"/>
  <c r="ES34" i="2"/>
  <c r="ET34" i="2"/>
  <c r="CD35" i="17" l="1"/>
  <c r="CC35" i="17"/>
  <c r="ET37" i="2"/>
  <c r="ET42" i="2" s="1"/>
  <c r="ER34" i="2"/>
  <c r="R32" i="6"/>
  <c r="BY31" i="17" s="1"/>
  <c r="BZ31" i="17" s="1"/>
  <c r="R26" i="6"/>
  <c r="BY25" i="17" s="1"/>
  <c r="BZ25" i="17" s="1"/>
  <c r="R22" i="6"/>
  <c r="BY21" i="17" s="1"/>
  <c r="BZ21" i="17" s="1"/>
  <c r="R18" i="6"/>
  <c r="BY17" i="17" s="1"/>
  <c r="BZ17" i="17" s="1"/>
  <c r="R14" i="6"/>
  <c r="BY13" i="17" s="1"/>
  <c r="BZ13" i="17" s="1"/>
  <c r="R11" i="6"/>
  <c r="BY10" i="17" s="1"/>
  <c r="R27" i="6"/>
  <c r="BY26" i="17" s="1"/>
  <c r="BZ26" i="17" s="1"/>
  <c r="R25" i="6"/>
  <c r="BY24" i="17" s="1"/>
  <c r="BZ24" i="17" s="1"/>
  <c r="R23" i="6"/>
  <c r="BY22" i="17" s="1"/>
  <c r="BZ22" i="17" s="1"/>
  <c r="R21" i="6"/>
  <c r="BY20" i="17" s="1"/>
  <c r="BZ20" i="17" s="1"/>
  <c r="R19" i="6"/>
  <c r="BY18" i="17" s="1"/>
  <c r="BZ18" i="17" s="1"/>
  <c r="R17" i="6"/>
  <c r="BY16" i="17" s="1"/>
  <c r="BZ16" i="17" s="1"/>
  <c r="R15" i="6"/>
  <c r="BY14" i="17" s="1"/>
  <c r="BZ14" i="17" s="1"/>
  <c r="R13" i="6"/>
  <c r="BY12" i="17" s="1"/>
  <c r="BZ12" i="17" s="1"/>
  <c r="EU37" i="2"/>
  <c r="ER30" i="2"/>
  <c r="ES37" i="2"/>
  <c r="ES42" i="2" s="1"/>
  <c r="EV37" i="2"/>
  <c r="EK33" i="2"/>
  <c r="EK28" i="2"/>
  <c r="EK24" i="2"/>
  <c r="EK20" i="2"/>
  <c r="EK16" i="2"/>
  <c r="EN34" i="2"/>
  <c r="EK27" i="2"/>
  <c r="EK23" i="2"/>
  <c r="EK19" i="2"/>
  <c r="EK15" i="2"/>
  <c r="EK21" i="2"/>
  <c r="R20" i="6"/>
  <c r="BY19" i="17" s="1"/>
  <c r="BZ19" i="17" s="1"/>
  <c r="R16" i="6"/>
  <c r="BY15" i="17" s="1"/>
  <c r="BZ15" i="17" s="1"/>
  <c r="EK13" i="2"/>
  <c r="R12" i="6"/>
  <c r="BY11" i="17" s="1"/>
  <c r="BZ11" i="17" s="1"/>
  <c r="EO34" i="2"/>
  <c r="R31" i="6"/>
  <c r="BY30" i="17" s="1"/>
  <c r="EK26" i="2"/>
  <c r="EK22" i="2"/>
  <c r="EK18" i="2"/>
  <c r="EK14" i="2"/>
  <c r="EK29" i="2"/>
  <c r="R28" i="6"/>
  <c r="BY27" i="17" s="1"/>
  <c r="BZ27" i="17" s="1"/>
  <c r="EK25" i="2"/>
  <c r="R24" i="6"/>
  <c r="BY23" i="17" s="1"/>
  <c r="BZ23" i="17" s="1"/>
  <c r="EK32" i="2"/>
  <c r="EL34" i="2"/>
  <c r="EM34" i="2"/>
  <c r="F415" i="8" l="1"/>
  <c r="F416" i="8" s="1"/>
  <c r="EV42" i="2"/>
  <c r="F412" i="8"/>
  <c r="F413" i="8" s="1"/>
  <c r="EU42" i="2"/>
  <c r="CC36" i="17"/>
  <c r="BZ30" i="17"/>
  <c r="BZ32" i="17" s="1"/>
  <c r="BY32" i="17"/>
  <c r="BZ10" i="17"/>
  <c r="BZ28" i="17" s="1"/>
  <c r="BY28" i="17"/>
  <c r="ER37" i="2"/>
  <c r="C12" i="7"/>
  <c r="EN37" i="2"/>
  <c r="E412" i="8" s="1"/>
  <c r="EO37" i="2"/>
  <c r="E415" i="8" s="1"/>
  <c r="E416" i="8" s="1"/>
  <c r="EM37" i="2"/>
  <c r="EK34" i="2"/>
  <c r="BZ35" i="17" l="1"/>
  <c r="BY35" i="17"/>
  <c r="E413" i="8"/>
  <c r="B12" i="7"/>
  <c r="KT30" i="2"/>
  <c r="KU30" i="2"/>
  <c r="KT34" i="2"/>
  <c r="KU34" i="2"/>
  <c r="KT40" i="2"/>
  <c r="KO61" i="2"/>
  <c r="KP61" i="2"/>
  <c r="KQ61" i="2"/>
  <c r="KS61" i="2"/>
  <c r="BY36" i="17" l="1"/>
  <c r="KU37" i="2"/>
  <c r="KU42" i="2" s="1"/>
  <c r="KT37" i="2"/>
  <c r="KT42" i="2" s="1"/>
  <c r="KS55" i="2"/>
  <c r="KS54" i="2"/>
  <c r="KP34" i="2"/>
  <c r="KQ34" i="2"/>
  <c r="KS53" i="2" l="1"/>
  <c r="KS57" i="2" s="1"/>
  <c r="KY34" i="2"/>
  <c r="KQ37" i="2"/>
  <c r="KO34" i="2"/>
  <c r="KO55" i="2" s="1"/>
  <c r="KW34" i="2" l="1"/>
  <c r="KY30" i="2"/>
  <c r="KY37" i="2" s="1"/>
  <c r="KW30" i="2" l="1"/>
  <c r="KW37" i="2" s="1"/>
  <c r="Q32" i="6"/>
  <c r="BU31" i="17" s="1"/>
  <c r="BV31" i="17" s="1"/>
  <c r="Q31" i="6"/>
  <c r="BU30" i="17" s="1"/>
  <c r="Q12" i="6"/>
  <c r="BU11" i="17" s="1"/>
  <c r="BV11" i="17" s="1"/>
  <c r="Q13" i="6"/>
  <c r="BU12" i="17" s="1"/>
  <c r="BV12" i="17" s="1"/>
  <c r="Q14" i="6"/>
  <c r="BU13" i="17" s="1"/>
  <c r="BV13" i="17" s="1"/>
  <c r="Q15" i="6"/>
  <c r="BU14" i="17" s="1"/>
  <c r="BV14" i="17" s="1"/>
  <c r="Q16" i="6"/>
  <c r="Q17" i="6"/>
  <c r="BU16" i="17" s="1"/>
  <c r="BV16" i="17" s="1"/>
  <c r="Q18" i="6"/>
  <c r="BU17" i="17" s="1"/>
  <c r="BV17" i="17" s="1"/>
  <c r="Q19" i="6"/>
  <c r="BU18" i="17" s="1"/>
  <c r="BV18" i="17" s="1"/>
  <c r="Q20" i="6"/>
  <c r="BU19" i="17" s="1"/>
  <c r="BV19" i="17" s="1"/>
  <c r="Q21" i="6"/>
  <c r="BU20" i="17" s="1"/>
  <c r="BV20" i="17" s="1"/>
  <c r="Q22" i="6"/>
  <c r="BU21" i="17" s="1"/>
  <c r="BV21" i="17" s="1"/>
  <c r="Q23" i="6"/>
  <c r="BU22" i="17" s="1"/>
  <c r="BV22" i="17" s="1"/>
  <c r="Q24" i="6"/>
  <c r="BU23" i="17" s="1"/>
  <c r="BV23" i="17" s="1"/>
  <c r="Q25" i="6"/>
  <c r="BU24" i="17" s="1"/>
  <c r="BV24" i="17" s="1"/>
  <c r="Q26" i="6"/>
  <c r="BU25" i="17" s="1"/>
  <c r="BV25" i="17" s="1"/>
  <c r="Q27" i="6"/>
  <c r="BU26" i="17" s="1"/>
  <c r="BV26" i="17" s="1"/>
  <c r="Q28" i="6"/>
  <c r="BU27" i="17" s="1"/>
  <c r="BV27" i="17" s="1"/>
  <c r="Q11" i="6"/>
  <c r="BU10" i="17" s="1"/>
  <c r="P32" i="6"/>
  <c r="BQ31" i="17" s="1"/>
  <c r="BR31" i="17" s="1"/>
  <c r="P31" i="6"/>
  <c r="BQ30" i="17" s="1"/>
  <c r="P12" i="6"/>
  <c r="BQ11" i="17" s="1"/>
  <c r="BR11" i="17" s="1"/>
  <c r="P13" i="6"/>
  <c r="BQ12" i="17" s="1"/>
  <c r="BR12" i="17" s="1"/>
  <c r="P14" i="6"/>
  <c r="BQ13" i="17" s="1"/>
  <c r="BR13" i="17" s="1"/>
  <c r="P15" i="6"/>
  <c r="BQ14" i="17" s="1"/>
  <c r="BR14" i="17" s="1"/>
  <c r="P16" i="6"/>
  <c r="BQ15" i="17" s="1"/>
  <c r="BR15" i="17" s="1"/>
  <c r="P17" i="6"/>
  <c r="BQ16" i="17" s="1"/>
  <c r="BR16" i="17" s="1"/>
  <c r="P18" i="6"/>
  <c r="BQ17" i="17" s="1"/>
  <c r="BR17" i="17" s="1"/>
  <c r="P19" i="6"/>
  <c r="BQ18" i="17" s="1"/>
  <c r="BR18" i="17" s="1"/>
  <c r="P20" i="6"/>
  <c r="BQ19" i="17" s="1"/>
  <c r="BR19" i="17" s="1"/>
  <c r="P21" i="6"/>
  <c r="BQ20" i="17" s="1"/>
  <c r="BR20" i="17" s="1"/>
  <c r="P22" i="6"/>
  <c r="BQ21" i="17" s="1"/>
  <c r="BR21" i="17" s="1"/>
  <c r="P23" i="6"/>
  <c r="BQ22" i="17" s="1"/>
  <c r="BR22" i="17" s="1"/>
  <c r="P24" i="6"/>
  <c r="BQ23" i="17" s="1"/>
  <c r="BR23" i="17" s="1"/>
  <c r="P25" i="6"/>
  <c r="BQ24" i="17" s="1"/>
  <c r="BR24" i="17" s="1"/>
  <c r="P26" i="6"/>
  <c r="BQ25" i="17" s="1"/>
  <c r="BR25" i="17" s="1"/>
  <c r="P27" i="6"/>
  <c r="BQ26" i="17" s="1"/>
  <c r="BR26" i="17" s="1"/>
  <c r="P28" i="6"/>
  <c r="BQ27" i="17" s="1"/>
  <c r="BR27" i="17" s="1"/>
  <c r="P11" i="6"/>
  <c r="BQ10" i="17" s="1"/>
  <c r="BU15" i="17" l="1"/>
  <c r="BV15" i="17" s="1"/>
  <c r="BV10" i="17"/>
  <c r="BU32" i="17"/>
  <c r="BV30" i="17"/>
  <c r="BV32" i="17" s="1"/>
  <c r="BQ28" i="17"/>
  <c r="BR10" i="17"/>
  <c r="BR28" i="17" s="1"/>
  <c r="BR30" i="17"/>
  <c r="BR32" i="17" s="1"/>
  <c r="BQ32" i="17"/>
  <c r="F406" i="8"/>
  <c r="BV28" i="17" l="1"/>
  <c r="BV35" i="17" s="1"/>
  <c r="BU28" i="17"/>
  <c r="BU35" i="17" s="1"/>
  <c r="BR35" i="17"/>
  <c r="BQ35" i="17"/>
  <c r="F407" i="8"/>
  <c r="C11" i="7"/>
  <c r="F409" i="8"/>
  <c r="F410" i="8" s="1"/>
  <c r="E409" i="8"/>
  <c r="E410" i="8" s="1"/>
  <c r="B11" i="7"/>
  <c r="BU36" i="17" l="1"/>
  <c r="BQ36" i="17"/>
  <c r="H410" i="8"/>
  <c r="J406" i="8"/>
  <c r="AA32" i="6"/>
  <c r="DI31" i="17" s="1"/>
  <c r="DJ31" i="17" s="1"/>
  <c r="AA31" i="6"/>
  <c r="DI30" i="17" s="1"/>
  <c r="DJ30" i="17" s="1"/>
  <c r="AA12" i="6"/>
  <c r="DI11" i="17" s="1"/>
  <c r="DJ11" i="17" s="1"/>
  <c r="AA13" i="6"/>
  <c r="DI12" i="17" s="1"/>
  <c r="DJ12" i="17" s="1"/>
  <c r="AA14" i="6"/>
  <c r="DI13" i="17" s="1"/>
  <c r="DJ13" i="17" s="1"/>
  <c r="AA15" i="6"/>
  <c r="DI14" i="17" s="1"/>
  <c r="DJ14" i="17" s="1"/>
  <c r="AA16" i="6"/>
  <c r="DI15" i="17" s="1"/>
  <c r="DJ15" i="17" s="1"/>
  <c r="AA17" i="6"/>
  <c r="DI16" i="17" s="1"/>
  <c r="DJ16" i="17" s="1"/>
  <c r="AA18" i="6"/>
  <c r="DI17" i="17" s="1"/>
  <c r="DJ17" i="17" s="1"/>
  <c r="AA19" i="6"/>
  <c r="DI18" i="17" s="1"/>
  <c r="DJ18" i="17" s="1"/>
  <c r="AA20" i="6"/>
  <c r="DI19" i="17" s="1"/>
  <c r="DJ19" i="17" s="1"/>
  <c r="AA21" i="6"/>
  <c r="DI20" i="17" s="1"/>
  <c r="DJ20" i="17" s="1"/>
  <c r="AA22" i="6"/>
  <c r="DI21" i="17" s="1"/>
  <c r="DJ21" i="17" s="1"/>
  <c r="AA23" i="6"/>
  <c r="DI22" i="17" s="1"/>
  <c r="DJ22" i="17" s="1"/>
  <c r="AA24" i="6"/>
  <c r="DI23" i="17" s="1"/>
  <c r="DJ23" i="17" s="1"/>
  <c r="AA25" i="6"/>
  <c r="DI24" i="17" s="1"/>
  <c r="DJ24" i="17" s="1"/>
  <c r="AA26" i="6"/>
  <c r="DI25" i="17" s="1"/>
  <c r="DJ25" i="17" s="1"/>
  <c r="AA27" i="6"/>
  <c r="DI26" i="17" s="1"/>
  <c r="DJ26" i="17" s="1"/>
  <c r="AA28" i="6"/>
  <c r="DI27" i="17" s="1"/>
  <c r="DJ27" i="17" s="1"/>
  <c r="AA11" i="6"/>
  <c r="DI10" i="17" s="1"/>
  <c r="DJ10" i="17" s="1"/>
  <c r="DJ28" i="17" l="1"/>
  <c r="DJ32" i="17"/>
  <c r="DI32" i="17"/>
  <c r="DI28" i="17"/>
  <c r="AA33" i="6"/>
  <c r="G409" i="8"/>
  <c r="H409" i="8"/>
  <c r="I411" i="8"/>
  <c r="H408" i="8"/>
  <c r="H411" i="8"/>
  <c r="AA29" i="6"/>
  <c r="Z31" i="6"/>
  <c r="DE30" i="17" s="1"/>
  <c r="DF30" i="17" s="1"/>
  <c r="Z12" i="6"/>
  <c r="DE11" i="17" s="1"/>
  <c r="DF11" i="17" s="1"/>
  <c r="Z13" i="6"/>
  <c r="DE12" i="17" s="1"/>
  <c r="DF12" i="17" s="1"/>
  <c r="Z14" i="6"/>
  <c r="DE13" i="17" s="1"/>
  <c r="DF13" i="17" s="1"/>
  <c r="Z16" i="6"/>
  <c r="DE15" i="17" s="1"/>
  <c r="DF15" i="17" s="1"/>
  <c r="Z17" i="6"/>
  <c r="DE16" i="17" s="1"/>
  <c r="DF16" i="17" s="1"/>
  <c r="Z18" i="6"/>
  <c r="DE17" i="17" s="1"/>
  <c r="DF17" i="17" s="1"/>
  <c r="Z19" i="6"/>
  <c r="DE18" i="17" s="1"/>
  <c r="DF18" i="17" s="1"/>
  <c r="Z20" i="6"/>
  <c r="DE19" i="17" s="1"/>
  <c r="DF19" i="17" s="1"/>
  <c r="Z21" i="6"/>
  <c r="DE20" i="17" s="1"/>
  <c r="DF20" i="17" s="1"/>
  <c r="Z22" i="6"/>
  <c r="DE21" i="17" s="1"/>
  <c r="DF21" i="17" s="1"/>
  <c r="Z23" i="6"/>
  <c r="DE22" i="17" s="1"/>
  <c r="DF22" i="17" s="1"/>
  <c r="Z24" i="6"/>
  <c r="DE23" i="17" s="1"/>
  <c r="DF23" i="17" s="1"/>
  <c r="Z25" i="6"/>
  <c r="DE24" i="17" s="1"/>
  <c r="DF24" i="17" s="1"/>
  <c r="Z26" i="6"/>
  <c r="DE25" i="17" s="1"/>
  <c r="DF25" i="17" s="1"/>
  <c r="Z27" i="6"/>
  <c r="DE26" i="17" s="1"/>
  <c r="DF26" i="17" s="1"/>
  <c r="Z28" i="6"/>
  <c r="DE27" i="17" s="1"/>
  <c r="DF27" i="17" s="1"/>
  <c r="Z11" i="6"/>
  <c r="DE10" i="17" s="1"/>
  <c r="DF10" i="17" s="1"/>
  <c r="DJ35" i="17" l="1"/>
  <c r="DI35" i="17"/>
  <c r="AA36" i="6"/>
  <c r="I409" i="8"/>
  <c r="G410" i="8"/>
  <c r="I410" i="8" s="1"/>
  <c r="Z15" i="6"/>
  <c r="I408" i="8"/>
  <c r="FP34" i="2"/>
  <c r="FO34" i="2"/>
  <c r="FN33" i="2"/>
  <c r="FN32" i="2"/>
  <c r="FK32" i="2"/>
  <c r="FP30" i="2"/>
  <c r="FO30" i="2"/>
  <c r="FN29" i="2"/>
  <c r="FK29" i="2"/>
  <c r="FN28" i="2"/>
  <c r="FK28" i="2"/>
  <c r="FN27" i="2"/>
  <c r="FK27" i="2"/>
  <c r="FN26" i="2"/>
  <c r="FK26" i="2"/>
  <c r="FN25" i="2"/>
  <c r="FK25" i="2"/>
  <c r="FN24" i="2"/>
  <c r="FK24" i="2"/>
  <c r="FN23" i="2"/>
  <c r="FK23" i="2"/>
  <c r="FN22" i="2"/>
  <c r="FK22" i="2"/>
  <c r="FN21" i="2"/>
  <c r="FK21" i="2"/>
  <c r="FN20" i="2"/>
  <c r="FK20" i="2"/>
  <c r="FN19" i="2"/>
  <c r="FK19" i="2"/>
  <c r="FN18" i="2"/>
  <c r="FN17" i="2"/>
  <c r="FK17" i="2"/>
  <c r="FN16" i="2"/>
  <c r="FK16" i="2"/>
  <c r="FN15" i="2"/>
  <c r="FK15" i="2"/>
  <c r="FN14" i="2"/>
  <c r="FK14" i="2"/>
  <c r="FN13" i="2"/>
  <c r="FK13" i="2"/>
  <c r="FN12" i="2"/>
  <c r="FK12" i="2"/>
  <c r="FO37" i="2" l="1"/>
  <c r="DI36" i="17"/>
  <c r="FP37" i="2"/>
  <c r="Z29" i="6"/>
  <c r="DE14" i="17"/>
  <c r="Y29" i="6"/>
  <c r="Y33" i="6"/>
  <c r="X33" i="6"/>
  <c r="X29" i="6"/>
  <c r="H219" i="8"/>
  <c r="FN30" i="2"/>
  <c r="FN34" i="2"/>
  <c r="F240" i="8" l="1"/>
  <c r="F243" i="8" s="1"/>
  <c r="FP42" i="2"/>
  <c r="F236" i="8"/>
  <c r="F239" i="8" s="1"/>
  <c r="FO42" i="2"/>
  <c r="C17" i="7"/>
  <c r="DE28" i="17"/>
  <c r="DF14" i="17"/>
  <c r="DF28" i="17" s="1"/>
  <c r="Y36" i="6"/>
  <c r="X36" i="6"/>
  <c r="H215" i="8"/>
  <c r="FN37" i="2"/>
  <c r="S33" i="6"/>
  <c r="R33" i="6"/>
  <c r="S29" i="6"/>
  <c r="R29" i="6"/>
  <c r="J236" i="8"/>
  <c r="I215" i="8" l="1"/>
  <c r="S36" i="6"/>
  <c r="R36" i="6"/>
  <c r="H167" i="8" l="1"/>
  <c r="G167" i="8"/>
  <c r="I167" i="8" s="1"/>
  <c r="D67" i="11"/>
  <c r="J19" i="11"/>
  <c r="J34" i="11"/>
  <c r="QV13" i="2"/>
  <c r="QZ13" i="2"/>
  <c r="QV14" i="2"/>
  <c r="QZ14" i="2"/>
  <c r="QV15" i="2"/>
  <c r="QZ15" i="2"/>
  <c r="QV16" i="2"/>
  <c r="QZ16" i="2"/>
  <c r="QV17" i="2"/>
  <c r="QZ17" i="2"/>
  <c r="QV18" i="2"/>
  <c r="QZ18" i="2"/>
  <c r="QV19" i="2"/>
  <c r="QZ19" i="2"/>
  <c r="QV20" i="2"/>
  <c r="QZ20" i="2"/>
  <c r="QV21" i="2"/>
  <c r="QZ21" i="2"/>
  <c r="QV22" i="2"/>
  <c r="QZ22" i="2"/>
  <c r="QV23" i="2"/>
  <c r="QZ23" i="2"/>
  <c r="QV24" i="2"/>
  <c r="QZ24" i="2"/>
  <c r="QV25" i="2"/>
  <c r="QZ25" i="2"/>
  <c r="QV26" i="2"/>
  <c r="QZ26" i="2"/>
  <c r="QV27" i="2"/>
  <c r="QZ27" i="2"/>
  <c r="QV28" i="2"/>
  <c r="QZ28" i="2"/>
  <c r="QV29" i="2"/>
  <c r="QZ29" i="2"/>
  <c r="QV12" i="2"/>
  <c r="QZ12" i="2"/>
  <c r="BI26" i="4"/>
  <c r="BE26" i="4"/>
  <c r="AQ36" i="3" s="1"/>
  <c r="BF8" i="4"/>
  <c r="BG8" i="4"/>
  <c r="BG26" i="4" s="1"/>
  <c r="AQ30" i="3"/>
  <c r="AQ26" i="3"/>
  <c r="QZ30" i="2" l="1"/>
  <c r="QZ37" i="2" s="1"/>
  <c r="QV30" i="2"/>
  <c r="QV37" i="2" s="1"/>
  <c r="AQ33" i="3"/>
  <c r="AQ38" i="3" s="1"/>
  <c r="BH26" i="4"/>
  <c r="BD26" i="4"/>
  <c r="AP36" i="3" s="1"/>
  <c r="AP30" i="3"/>
  <c r="AP26" i="3"/>
  <c r="BF26" i="4" l="1"/>
  <c r="AQ40" i="3"/>
  <c r="F165" i="8"/>
  <c r="AP33" i="3"/>
  <c r="AP38" i="3" s="1"/>
  <c r="E165" i="8" s="1"/>
  <c r="E168" i="8" s="1"/>
  <c r="G168" i="8" l="1"/>
  <c r="F168" i="8"/>
  <c r="G165" i="8"/>
  <c r="I165" i="8" s="1"/>
  <c r="H165" i="8"/>
  <c r="H168" i="8" l="1"/>
  <c r="I168" i="8"/>
  <c r="G166" i="8"/>
  <c r="I166" i="8" s="1"/>
  <c r="H166" i="8"/>
  <c r="CO31" i="6"/>
  <c r="CG31" i="6" s="1"/>
  <c r="CO12" i="6"/>
  <c r="CG12" i="6" s="1"/>
  <c r="CO13" i="6"/>
  <c r="CG13" i="6" s="1"/>
  <c r="CO14" i="6"/>
  <c r="CG14" i="6" s="1"/>
  <c r="CO15" i="6"/>
  <c r="CG15" i="6" s="1"/>
  <c r="CO16" i="6"/>
  <c r="CG16" i="6" s="1"/>
  <c r="CO17" i="6"/>
  <c r="CG17" i="6" s="1"/>
  <c r="CO18" i="6"/>
  <c r="CG18" i="6" s="1"/>
  <c r="CO19" i="6"/>
  <c r="CG19" i="6" s="1"/>
  <c r="CO20" i="6"/>
  <c r="CG20" i="6" s="1"/>
  <c r="CO21" i="6"/>
  <c r="CG21" i="6" s="1"/>
  <c r="CO22" i="6"/>
  <c r="CG22" i="6" s="1"/>
  <c r="CO23" i="6"/>
  <c r="CG23" i="6" s="1"/>
  <c r="CO24" i="6"/>
  <c r="CG24" i="6" s="1"/>
  <c r="CO25" i="6"/>
  <c r="CG25" i="6" s="1"/>
  <c r="CO26" i="6"/>
  <c r="CG26" i="6" s="1"/>
  <c r="CO27" i="6"/>
  <c r="CG27" i="6" s="1"/>
  <c r="CO28" i="6"/>
  <c r="CG28" i="6" s="1"/>
  <c r="CO11" i="6"/>
  <c r="CG11" i="6" s="1"/>
  <c r="DF12" i="2"/>
  <c r="DF13" i="2"/>
  <c r="CO29" i="6" l="1"/>
  <c r="AG30" i="3" l="1"/>
  <c r="AG44" i="3" s="1"/>
  <c r="AG26" i="3"/>
  <c r="AG43" i="3" s="1"/>
  <c r="AG33" i="3" l="1"/>
  <c r="AG38" i="3" s="1"/>
  <c r="AG40" i="3" s="1"/>
  <c r="AF26" i="3"/>
  <c r="AF43" i="3" s="1"/>
  <c r="F66" i="8" l="1"/>
  <c r="G67" i="8" l="1"/>
  <c r="I67" i="8" s="1"/>
  <c r="H67" i="8" l="1"/>
  <c r="F68" i="8"/>
  <c r="I16" i="16" l="1"/>
  <c r="G16" i="16" s="1"/>
  <c r="D260" i="8" l="1"/>
  <c r="D257" i="8"/>
  <c r="J256" i="8"/>
  <c r="K32" i="6"/>
  <c r="AW31" i="17" s="1"/>
  <c r="AX31" i="17" s="1"/>
  <c r="K31" i="6"/>
  <c r="AW30" i="17" s="1"/>
  <c r="K12" i="6"/>
  <c r="AW11" i="17" s="1"/>
  <c r="AX11" i="17" s="1"/>
  <c r="K13" i="6"/>
  <c r="AW12" i="17" s="1"/>
  <c r="AX12" i="17" s="1"/>
  <c r="K14" i="6"/>
  <c r="AW13" i="17" s="1"/>
  <c r="AX13" i="17" s="1"/>
  <c r="K15" i="6"/>
  <c r="AW14" i="17" s="1"/>
  <c r="AX14" i="17" s="1"/>
  <c r="K16" i="6"/>
  <c r="AW15" i="17" s="1"/>
  <c r="AX15" i="17" s="1"/>
  <c r="K17" i="6"/>
  <c r="AW16" i="17" s="1"/>
  <c r="AX16" i="17" s="1"/>
  <c r="K18" i="6"/>
  <c r="AW17" i="17" s="1"/>
  <c r="AX17" i="17" s="1"/>
  <c r="K19" i="6"/>
  <c r="AW18" i="17" s="1"/>
  <c r="AX18" i="17" s="1"/>
  <c r="K20" i="6"/>
  <c r="AW19" i="17" s="1"/>
  <c r="AX19" i="17" s="1"/>
  <c r="K21" i="6"/>
  <c r="AW20" i="17" s="1"/>
  <c r="AX20" i="17" s="1"/>
  <c r="K22" i="6"/>
  <c r="AW21" i="17" s="1"/>
  <c r="AX21" i="17" s="1"/>
  <c r="K23" i="6"/>
  <c r="AW22" i="17" s="1"/>
  <c r="AX22" i="17" s="1"/>
  <c r="K24" i="6"/>
  <c r="AW23" i="17" s="1"/>
  <c r="AX23" i="17" s="1"/>
  <c r="K25" i="6"/>
  <c r="AW24" i="17" s="1"/>
  <c r="AX24" i="17" s="1"/>
  <c r="K26" i="6"/>
  <c r="AW25" i="17" s="1"/>
  <c r="AX25" i="17" s="1"/>
  <c r="K27" i="6"/>
  <c r="AW26" i="17" s="1"/>
  <c r="AX26" i="17" s="1"/>
  <c r="K28" i="6"/>
  <c r="AW27" i="17" s="1"/>
  <c r="AX27" i="17" s="1"/>
  <c r="K11" i="6"/>
  <c r="AW10" i="17" s="1"/>
  <c r="J32" i="6"/>
  <c r="AS31" i="17" s="1"/>
  <c r="AT31" i="17" s="1"/>
  <c r="J31" i="6"/>
  <c r="AS30" i="17" s="1"/>
  <c r="J12" i="6"/>
  <c r="AS11" i="17" s="1"/>
  <c r="AT11" i="17" s="1"/>
  <c r="J13" i="6"/>
  <c r="AS12" i="17" s="1"/>
  <c r="AT12" i="17" s="1"/>
  <c r="J14" i="6"/>
  <c r="AS13" i="17" s="1"/>
  <c r="AT13" i="17" s="1"/>
  <c r="J15" i="6"/>
  <c r="AS14" i="17" s="1"/>
  <c r="AT14" i="17" s="1"/>
  <c r="J16" i="6"/>
  <c r="AS15" i="17" s="1"/>
  <c r="AT15" i="17" s="1"/>
  <c r="J17" i="6"/>
  <c r="AS16" i="17" s="1"/>
  <c r="AT16" i="17" s="1"/>
  <c r="J18" i="6"/>
  <c r="AS17" i="17" s="1"/>
  <c r="AT17" i="17" s="1"/>
  <c r="J19" i="6"/>
  <c r="AS18" i="17" s="1"/>
  <c r="AT18" i="17" s="1"/>
  <c r="J20" i="6"/>
  <c r="AS19" i="17" s="1"/>
  <c r="AT19" i="17" s="1"/>
  <c r="J21" i="6"/>
  <c r="AS20" i="17" s="1"/>
  <c r="AT20" i="17" s="1"/>
  <c r="J22" i="6"/>
  <c r="AS21" i="17" s="1"/>
  <c r="AT21" i="17" s="1"/>
  <c r="J23" i="6"/>
  <c r="AS22" i="17" s="1"/>
  <c r="AT22" i="17" s="1"/>
  <c r="J24" i="6"/>
  <c r="AS23" i="17" s="1"/>
  <c r="AT23" i="17" s="1"/>
  <c r="J25" i="6"/>
  <c r="AS24" i="17" s="1"/>
  <c r="AT24" i="17" s="1"/>
  <c r="J26" i="6"/>
  <c r="AS25" i="17" s="1"/>
  <c r="AT25" i="17" s="1"/>
  <c r="J27" i="6"/>
  <c r="AS26" i="17" s="1"/>
  <c r="AT26" i="17" s="1"/>
  <c r="J28" i="6"/>
  <c r="AS27" i="17" s="1"/>
  <c r="AT27" i="17" s="1"/>
  <c r="J11" i="6"/>
  <c r="AS10" i="17" s="1"/>
  <c r="EA34" i="2"/>
  <c r="DZ34" i="2"/>
  <c r="EA30" i="2"/>
  <c r="DZ30" i="2"/>
  <c r="AX10" i="17" l="1"/>
  <c r="AW28" i="17"/>
  <c r="AX30" i="17"/>
  <c r="AX32" i="17" s="1"/>
  <c r="AW32" i="17"/>
  <c r="AT10" i="17"/>
  <c r="AS28" i="17"/>
  <c r="AT30" i="17"/>
  <c r="AT32" i="17" s="1"/>
  <c r="AS32" i="17"/>
  <c r="EA37" i="2"/>
  <c r="C8" i="7" s="1"/>
  <c r="K33" i="6"/>
  <c r="DZ37" i="2"/>
  <c r="F256" i="8" s="1"/>
  <c r="F257" i="8" s="1"/>
  <c r="K29" i="6"/>
  <c r="J33" i="6"/>
  <c r="J29" i="6"/>
  <c r="DS34" i="2"/>
  <c r="DT34" i="2"/>
  <c r="J369" i="8"/>
  <c r="AO32" i="6"/>
  <c r="FE31" i="17" s="1"/>
  <c r="FF31" i="17" s="1"/>
  <c r="AO31" i="6"/>
  <c r="FE30" i="17" s="1"/>
  <c r="AO12" i="6"/>
  <c r="FE11" i="17" s="1"/>
  <c r="AO13" i="6"/>
  <c r="FE12" i="17" s="1"/>
  <c r="AO14" i="6"/>
  <c r="FE13" i="17" s="1"/>
  <c r="AO15" i="6"/>
  <c r="FE14" i="17" s="1"/>
  <c r="AO16" i="6"/>
  <c r="FE15" i="17" s="1"/>
  <c r="AO17" i="6"/>
  <c r="FE16" i="17" s="1"/>
  <c r="AO18" i="6"/>
  <c r="FE17" i="17" s="1"/>
  <c r="AO19" i="6"/>
  <c r="FE18" i="17" s="1"/>
  <c r="AO20" i="6"/>
  <c r="FE19" i="17" s="1"/>
  <c r="AO21" i="6"/>
  <c r="FE20" i="17" s="1"/>
  <c r="AO22" i="6"/>
  <c r="FE21" i="17" s="1"/>
  <c r="AO23" i="6"/>
  <c r="FE22" i="17" s="1"/>
  <c r="AO24" i="6"/>
  <c r="FE23" i="17" s="1"/>
  <c r="AO25" i="6"/>
  <c r="FE24" i="17" s="1"/>
  <c r="AO26" i="6"/>
  <c r="FE25" i="17" s="1"/>
  <c r="AO27" i="6"/>
  <c r="FE26" i="17" s="1"/>
  <c r="AO28" i="6"/>
  <c r="FE27" i="17" s="1"/>
  <c r="AO11" i="6"/>
  <c r="FE10" i="17" s="1"/>
  <c r="FE28" i="17" l="1"/>
  <c r="AS35" i="17"/>
  <c r="FF30" i="17"/>
  <c r="FF32" i="17" s="1"/>
  <c r="FF35" i="17" s="1"/>
  <c r="FE32" i="17"/>
  <c r="AX28" i="17"/>
  <c r="AX35" i="17" s="1"/>
  <c r="AW35" i="17"/>
  <c r="AT28" i="17"/>
  <c r="AT35" i="17" s="1"/>
  <c r="F259" i="8"/>
  <c r="F260" i="8" s="1"/>
  <c r="K36" i="6"/>
  <c r="D374" i="8"/>
  <c r="C7" i="16" s="1"/>
  <c r="F7" i="16" s="1"/>
  <c r="AO33" i="6"/>
  <c r="J36" i="6"/>
  <c r="DT37" i="2"/>
  <c r="B8" i="7" s="1"/>
  <c r="DS37" i="2"/>
  <c r="E256" i="8" s="1"/>
  <c r="E257" i="8" s="1"/>
  <c r="AO29" i="6"/>
  <c r="FE35" i="17" l="1"/>
  <c r="F8" i="16"/>
  <c r="AS36" i="17"/>
  <c r="AW36" i="17"/>
  <c r="G257" i="8"/>
  <c r="I257" i="8" s="1"/>
  <c r="AO36" i="6"/>
  <c r="E259" i="8"/>
  <c r="G259" i="8" s="1"/>
  <c r="I259" i="8" s="1"/>
  <c r="H256" i="8"/>
  <c r="G256" i="8"/>
  <c r="I256" i="8" s="1"/>
  <c r="H257" i="8"/>
  <c r="AN32" i="6"/>
  <c r="FA31" i="17" s="1"/>
  <c r="FB31" i="17" s="1"/>
  <c r="KD29" i="2"/>
  <c r="FG27" i="17" s="1"/>
  <c r="KC29" i="2"/>
  <c r="JZ29" i="2" s="1"/>
  <c r="KD28" i="2"/>
  <c r="FG26" i="17" s="1"/>
  <c r="KC28" i="2"/>
  <c r="KD27" i="2"/>
  <c r="FG25" i="17" s="1"/>
  <c r="KC27" i="2"/>
  <c r="JZ27" i="2" s="1"/>
  <c r="KD26" i="2"/>
  <c r="FG24" i="17" s="1"/>
  <c r="KC26" i="2"/>
  <c r="KD25" i="2"/>
  <c r="FG23" i="17" s="1"/>
  <c r="KC25" i="2"/>
  <c r="JZ25" i="2" s="1"/>
  <c r="KD24" i="2"/>
  <c r="FG22" i="17" s="1"/>
  <c r="KC24" i="2"/>
  <c r="KD23" i="2"/>
  <c r="FG21" i="17" s="1"/>
  <c r="KC23" i="2"/>
  <c r="JZ23" i="2" s="1"/>
  <c r="KD22" i="2"/>
  <c r="FG20" i="17" s="1"/>
  <c r="KC22" i="2"/>
  <c r="KD21" i="2"/>
  <c r="FG19" i="17" s="1"/>
  <c r="KC21" i="2"/>
  <c r="JZ21" i="2" s="1"/>
  <c r="KD20" i="2"/>
  <c r="FG18" i="17" s="1"/>
  <c r="KC20" i="2"/>
  <c r="KD19" i="2"/>
  <c r="FG17" i="17" s="1"/>
  <c r="KC19" i="2"/>
  <c r="JZ19" i="2" s="1"/>
  <c r="KD18" i="2"/>
  <c r="FG16" i="17" s="1"/>
  <c r="KC18" i="2"/>
  <c r="KD17" i="2"/>
  <c r="FG15" i="17" s="1"/>
  <c r="KC17" i="2"/>
  <c r="JZ17" i="2" s="1"/>
  <c r="KD16" i="2"/>
  <c r="FG14" i="17" s="1"/>
  <c r="KC16" i="2"/>
  <c r="KD15" i="2"/>
  <c r="FG13" i="17" s="1"/>
  <c r="KC15" i="2"/>
  <c r="JZ15" i="2" s="1"/>
  <c r="KD14" i="2"/>
  <c r="FG12" i="17" s="1"/>
  <c r="KC14" i="2"/>
  <c r="KD13" i="2"/>
  <c r="FG11" i="17" s="1"/>
  <c r="KC13" i="2"/>
  <c r="JZ13" i="2" s="1"/>
  <c r="KD12" i="2"/>
  <c r="FG10" i="17" s="1"/>
  <c r="KC12" i="2"/>
  <c r="JX13" i="2"/>
  <c r="JX14" i="2"/>
  <c r="JY14" i="2"/>
  <c r="FC12" i="17" s="1"/>
  <c r="JX15" i="2"/>
  <c r="JY16" i="2"/>
  <c r="FC14" i="17" s="1"/>
  <c r="JX17" i="2"/>
  <c r="JY18" i="2"/>
  <c r="FC16" i="17" s="1"/>
  <c r="JX19" i="2"/>
  <c r="JY20" i="2"/>
  <c r="FC18" i="17" s="1"/>
  <c r="JX21" i="2"/>
  <c r="JY22" i="2"/>
  <c r="FC20" i="17" s="1"/>
  <c r="JX23" i="2"/>
  <c r="JY24" i="2"/>
  <c r="FC22" i="17" s="1"/>
  <c r="JX25" i="2"/>
  <c r="JY26" i="2"/>
  <c r="FC24" i="17" s="1"/>
  <c r="JX27" i="2"/>
  <c r="JY28" i="2"/>
  <c r="FC26" i="17" s="1"/>
  <c r="JX29" i="2"/>
  <c r="JY12" i="2"/>
  <c r="FC10" i="17" s="1"/>
  <c r="KN34" i="2"/>
  <c r="KM34" i="2"/>
  <c r="KN30" i="2"/>
  <c r="KM30" i="2"/>
  <c r="KI34" i="2"/>
  <c r="KH34" i="2"/>
  <c r="KD34" i="2"/>
  <c r="KC34" i="2"/>
  <c r="JY34" i="2"/>
  <c r="JX34" i="2"/>
  <c r="JO34" i="2"/>
  <c r="JN34" i="2"/>
  <c r="JE34" i="2"/>
  <c r="JD34" i="2"/>
  <c r="JE30" i="2"/>
  <c r="JD30" i="2"/>
  <c r="JT34" i="2"/>
  <c r="JS34" i="2"/>
  <c r="JT30" i="2"/>
  <c r="JS30" i="2"/>
  <c r="JZ12" i="2" l="1"/>
  <c r="JZ14" i="2"/>
  <c r="JZ16" i="2"/>
  <c r="JZ18" i="2"/>
  <c r="JZ20" i="2"/>
  <c r="JZ22" i="2"/>
  <c r="JZ24" i="2"/>
  <c r="JZ26" i="2"/>
  <c r="JZ28" i="2"/>
  <c r="JU14" i="2"/>
  <c r="FG28" i="17"/>
  <c r="FG35" i="17" s="1"/>
  <c r="FE36" i="17" s="1"/>
  <c r="JD37" i="2"/>
  <c r="KM37" i="2"/>
  <c r="JS37" i="2"/>
  <c r="KC30" i="2"/>
  <c r="KC37" i="2" s="1"/>
  <c r="JT37" i="2"/>
  <c r="JE37" i="2"/>
  <c r="KN37" i="2"/>
  <c r="KD30" i="2"/>
  <c r="KD37" i="2" s="1"/>
  <c r="E260" i="8"/>
  <c r="H259" i="8"/>
  <c r="G258" i="8"/>
  <c r="I258" i="8" s="1"/>
  <c r="H258" i="8"/>
  <c r="JO30" i="2"/>
  <c r="JO37" i="2" s="1"/>
  <c r="KH30" i="2"/>
  <c r="KH37" i="2" s="1"/>
  <c r="IT34" i="2"/>
  <c r="KI30" i="2"/>
  <c r="KI37" i="2" s="1"/>
  <c r="JX12" i="2"/>
  <c r="JU12" i="2" s="1"/>
  <c r="AN27" i="6"/>
  <c r="FA26" i="17" s="1"/>
  <c r="AN25" i="6"/>
  <c r="FA24" i="17" s="1"/>
  <c r="AN23" i="6"/>
  <c r="FA22" i="17" s="1"/>
  <c r="AN21" i="6"/>
  <c r="FA20" i="17" s="1"/>
  <c r="AN19" i="6"/>
  <c r="FA18" i="17" s="1"/>
  <c r="AN17" i="6"/>
  <c r="FA16" i="17" s="1"/>
  <c r="AN15" i="6"/>
  <c r="FA14" i="17" s="1"/>
  <c r="AN13" i="6"/>
  <c r="FA12" i="17" s="1"/>
  <c r="AN26" i="6"/>
  <c r="FA25" i="17" s="1"/>
  <c r="AN22" i="6"/>
  <c r="FA21" i="17" s="1"/>
  <c r="AN18" i="6"/>
  <c r="FA17" i="17" s="1"/>
  <c r="AN14" i="6"/>
  <c r="FA13" i="17" s="1"/>
  <c r="AN12" i="6"/>
  <c r="FA11" i="17" s="1"/>
  <c r="JY29" i="2"/>
  <c r="FC27" i="17" s="1"/>
  <c r="JY27" i="2"/>
  <c r="FC25" i="17" s="1"/>
  <c r="JY25" i="2"/>
  <c r="FC23" i="17" s="1"/>
  <c r="JY23" i="2"/>
  <c r="FC21" i="17" s="1"/>
  <c r="JY21" i="2"/>
  <c r="FC19" i="17" s="1"/>
  <c r="JY19" i="2"/>
  <c r="FC17" i="17" s="1"/>
  <c r="JY17" i="2"/>
  <c r="FC15" i="17" s="1"/>
  <c r="JY15" i="2"/>
  <c r="FC13" i="17" s="1"/>
  <c r="JY13" i="2"/>
  <c r="FC11" i="17" s="1"/>
  <c r="AN28" i="6"/>
  <c r="FA27" i="17" s="1"/>
  <c r="AN24" i="6"/>
  <c r="FA23" i="17" s="1"/>
  <c r="AN20" i="6"/>
  <c r="FA19" i="17" s="1"/>
  <c r="AN16" i="6"/>
  <c r="FA15" i="17" s="1"/>
  <c r="IU34" i="2"/>
  <c r="AN31" i="6"/>
  <c r="JX28" i="2"/>
  <c r="JU28" i="2" s="1"/>
  <c r="JX26" i="2"/>
  <c r="JU26" i="2" s="1"/>
  <c r="JX24" i="2"/>
  <c r="JU24" i="2" s="1"/>
  <c r="JX22" i="2"/>
  <c r="JU22" i="2" s="1"/>
  <c r="JX20" i="2"/>
  <c r="JU20" i="2" s="1"/>
  <c r="JX18" i="2"/>
  <c r="JU18" i="2" s="1"/>
  <c r="AN11" i="6"/>
  <c r="FA10" i="17" s="1"/>
  <c r="JU13" i="2" l="1"/>
  <c r="JU27" i="2"/>
  <c r="JU25" i="2"/>
  <c r="JU23" i="2"/>
  <c r="JU21" i="2"/>
  <c r="JU19" i="2"/>
  <c r="JU17" i="2"/>
  <c r="JU15" i="2"/>
  <c r="JU29" i="2"/>
  <c r="FC28" i="17"/>
  <c r="FC35" i="17" s="1"/>
  <c r="FA28" i="17"/>
  <c r="AN33" i="6"/>
  <c r="FA30" i="17"/>
  <c r="JD38" i="2"/>
  <c r="JD42" i="2" s="1"/>
  <c r="JE38" i="2"/>
  <c r="F372" i="8" s="1"/>
  <c r="F374" i="8" s="1"/>
  <c r="G260" i="8"/>
  <c r="H260" i="8"/>
  <c r="IT37" i="2"/>
  <c r="JY30" i="2"/>
  <c r="JY37" i="2" s="1"/>
  <c r="IU37" i="2"/>
  <c r="IU38" i="2" s="1"/>
  <c r="B20" i="7" s="1"/>
  <c r="AN29" i="6"/>
  <c r="AN36" i="6" l="1"/>
  <c r="FB30" i="17"/>
  <c r="FB32" i="17" s="1"/>
  <c r="FB35" i="17" s="1"/>
  <c r="FA32" i="17"/>
  <c r="FA35" i="17" s="1"/>
  <c r="I260" i="8"/>
  <c r="G261" i="8"/>
  <c r="H261" i="8"/>
  <c r="F369" i="8"/>
  <c r="JE42" i="2"/>
  <c r="C20" i="7"/>
  <c r="E372" i="8"/>
  <c r="Q29" i="6"/>
  <c r="Q33" i="6"/>
  <c r="F371" i="8" l="1"/>
  <c r="H372" i="8"/>
  <c r="G373" i="8"/>
  <c r="G8" i="16"/>
  <c r="FA36" i="17"/>
  <c r="I261" i="8"/>
  <c r="G372" i="8"/>
  <c r="I372" i="8" s="1"/>
  <c r="Q36" i="6"/>
  <c r="D292" i="8"/>
  <c r="D504" i="8" s="1"/>
  <c r="G291" i="8"/>
  <c r="G290" i="8"/>
  <c r="D288" i="8"/>
  <c r="D251" i="8" s="1"/>
  <c r="G287" i="8"/>
  <c r="G286" i="8"/>
  <c r="I7" i="16" l="1"/>
  <c r="G7" i="16" s="1"/>
  <c r="F370" i="8"/>
  <c r="H373" i="8"/>
  <c r="E374" i="8"/>
  <c r="I443" i="8"/>
  <c r="H443" i="8"/>
  <c r="AT30" i="2"/>
  <c r="AT34" i="2"/>
  <c r="D142" i="8"/>
  <c r="H141" i="8"/>
  <c r="G141" i="8"/>
  <c r="J140" i="8"/>
  <c r="H148" i="8"/>
  <c r="G148" i="8"/>
  <c r="I148" i="8" s="1"/>
  <c r="H374" i="8" l="1"/>
  <c r="I141" i="8"/>
  <c r="I373" i="8"/>
  <c r="G374" i="8"/>
  <c r="P33" i="6"/>
  <c r="P29" i="6"/>
  <c r="AN34" i="2"/>
  <c r="AT37" i="2"/>
  <c r="F140" i="8" s="1"/>
  <c r="F142" i="8" s="1"/>
  <c r="I374" i="8" l="1"/>
  <c r="P36" i="6"/>
  <c r="AN37" i="2"/>
  <c r="E140" i="8" s="1"/>
  <c r="E142" i="8" s="1"/>
  <c r="F149" i="8" l="1"/>
  <c r="F138" i="8" s="1"/>
  <c r="H142" i="8"/>
  <c r="G142" i="8"/>
  <c r="I142" i="8" s="1"/>
  <c r="G140" i="8"/>
  <c r="I140" i="8" s="1"/>
  <c r="H140" i="8"/>
  <c r="D28" i="8" l="1"/>
  <c r="Y30" i="3"/>
  <c r="Y26" i="3"/>
  <c r="X26" i="3" l="1"/>
  <c r="Y33" i="3"/>
  <c r="Y38" i="3" s="1"/>
  <c r="X30" i="3"/>
  <c r="X33" i="3" l="1"/>
  <c r="X38" i="3" s="1"/>
  <c r="E27" i="8" s="1"/>
  <c r="E28" i="8" s="1"/>
  <c r="G28" i="8" s="1"/>
  <c r="I28" i="8" s="1"/>
  <c r="Y40" i="3"/>
  <c r="F27" i="8"/>
  <c r="G27" i="8" l="1"/>
  <c r="I27" i="8" s="1"/>
  <c r="G29" i="8"/>
  <c r="I29" i="8" s="1"/>
  <c r="H27" i="8"/>
  <c r="F28" i="8"/>
  <c r="H28" i="8" l="1"/>
  <c r="H29" i="8"/>
  <c r="AC30" i="3" l="1"/>
  <c r="AC26" i="3"/>
  <c r="AB30" i="3" l="1"/>
  <c r="AB26" i="3"/>
  <c r="AC33" i="3"/>
  <c r="AC38" i="3" s="1"/>
  <c r="AB33" i="3" l="1"/>
  <c r="AC40" i="3"/>
  <c r="F143" i="8"/>
  <c r="F145" i="8" s="1"/>
  <c r="I14" i="16" s="1"/>
  <c r="G14" i="16" s="1"/>
  <c r="CX13" i="2" l="1"/>
  <c r="AI11" i="17" s="1"/>
  <c r="CX14" i="2"/>
  <c r="AI12" i="17" s="1"/>
  <c r="CX15" i="2"/>
  <c r="AI13" i="17" s="1"/>
  <c r="CX16" i="2"/>
  <c r="AI14" i="17" s="1"/>
  <c r="CX17" i="2"/>
  <c r="AI15" i="17" s="1"/>
  <c r="CX18" i="2"/>
  <c r="AI16" i="17" s="1"/>
  <c r="CX19" i="2"/>
  <c r="AI17" i="17" s="1"/>
  <c r="CX20" i="2"/>
  <c r="AI18" i="17" s="1"/>
  <c r="CX21" i="2"/>
  <c r="AI19" i="17" s="1"/>
  <c r="CX22" i="2"/>
  <c r="AI20" i="17" s="1"/>
  <c r="CX23" i="2"/>
  <c r="AI21" i="17" s="1"/>
  <c r="CX24" i="2"/>
  <c r="AI22" i="17" s="1"/>
  <c r="CX25" i="2"/>
  <c r="AI23" i="17" s="1"/>
  <c r="CX26" i="2"/>
  <c r="AI24" i="17" s="1"/>
  <c r="CX27" i="2"/>
  <c r="AI25" i="17" s="1"/>
  <c r="CX28" i="2"/>
  <c r="AI26" i="17" s="1"/>
  <c r="CX29" i="2"/>
  <c r="AI27" i="17" s="1"/>
  <c r="AI8" i="4"/>
  <c r="QX26" i="2" l="1"/>
  <c r="QX22" i="2"/>
  <c r="QX18" i="2"/>
  <c r="QX14" i="2"/>
  <c r="QX27" i="2"/>
  <c r="QX23" i="2"/>
  <c r="QX19" i="2"/>
  <c r="QX15" i="2"/>
  <c r="QX28" i="2"/>
  <c r="QX24" i="2"/>
  <c r="QX20" i="2"/>
  <c r="QX16" i="2"/>
  <c r="QX29" i="2"/>
  <c r="QX25" i="2"/>
  <c r="QX21" i="2"/>
  <c r="QX17" i="2"/>
  <c r="QX13" i="2"/>
  <c r="QS16" i="2"/>
  <c r="QS17" i="2"/>
  <c r="QS19" i="2"/>
  <c r="QS20" i="2"/>
  <c r="QS21" i="2"/>
  <c r="QS23" i="2"/>
  <c r="QS24" i="2"/>
  <c r="QS25" i="2"/>
  <c r="QS12" i="2"/>
  <c r="QU26" i="2"/>
  <c r="QU18" i="2"/>
  <c r="QY17" i="2"/>
  <c r="QU12" i="2"/>
  <c r="QY21" i="2"/>
  <c r="QY13" i="2"/>
  <c r="QY28" i="2"/>
  <c r="QU25" i="2"/>
  <c r="QY24" i="2"/>
  <c r="QU21" i="2"/>
  <c r="QY20" i="2"/>
  <c r="QU17" i="2"/>
  <c r="QY16" i="2"/>
  <c r="QY12" i="2"/>
  <c r="QY26" i="2"/>
  <c r="QU23" i="2"/>
  <c r="QU19" i="2"/>
  <c r="QY18" i="2"/>
  <c r="QU15" i="2"/>
  <c r="QY25" i="2"/>
  <c r="QU28" i="2"/>
  <c r="QY27" i="2"/>
  <c r="QU24" i="2"/>
  <c r="QY23" i="2"/>
  <c r="QU20" i="2"/>
  <c r="QY19" i="2"/>
  <c r="QU16" i="2"/>
  <c r="QY15" i="2"/>
  <c r="CW20" i="2"/>
  <c r="AE18" i="17" s="1"/>
  <c r="CW16" i="2"/>
  <c r="AE14" i="17" s="1"/>
  <c r="CW15" i="2"/>
  <c r="AE13" i="17" s="1"/>
  <c r="CW26" i="2"/>
  <c r="AE24" i="17" s="1"/>
  <c r="CW18" i="2"/>
  <c r="AE16" i="17" s="1"/>
  <c r="CW28" i="2"/>
  <c r="AE26" i="17" s="1"/>
  <c r="CW24" i="2"/>
  <c r="AE22" i="17" s="1"/>
  <c r="CW23" i="2"/>
  <c r="AE21" i="17" s="1"/>
  <c r="CW21" i="2"/>
  <c r="AE19" i="17" s="1"/>
  <c r="CW29" i="2"/>
  <c r="AE27" i="17" s="1"/>
  <c r="CW19" i="2"/>
  <c r="AE17" i="17" s="1"/>
  <c r="CW17" i="2"/>
  <c r="AE15" i="17" s="1"/>
  <c r="CW27" i="2"/>
  <c r="AE25" i="17" s="1"/>
  <c r="CW25" i="2"/>
  <c r="AE23" i="17" s="1"/>
  <c r="K13" i="2"/>
  <c r="S13" i="2"/>
  <c r="W13" i="2"/>
  <c r="AB13" i="2"/>
  <c r="AF13" i="2" s="1"/>
  <c r="K14" i="2"/>
  <c r="S14" i="2"/>
  <c r="W14" i="2"/>
  <c r="AB14" i="2"/>
  <c r="AF14" i="2" s="1"/>
  <c r="K15" i="2"/>
  <c r="S15" i="2"/>
  <c r="W15" i="2"/>
  <c r="AB15" i="2"/>
  <c r="AF15" i="2" s="1"/>
  <c r="K16" i="2"/>
  <c r="S16" i="2"/>
  <c r="W16" i="2"/>
  <c r="AB16" i="2"/>
  <c r="AF16" i="2" s="1"/>
  <c r="K17" i="2"/>
  <c r="S17" i="2"/>
  <c r="W17" i="2"/>
  <c r="AB17" i="2"/>
  <c r="AF17" i="2" s="1"/>
  <c r="K18" i="2"/>
  <c r="S18" i="2"/>
  <c r="W18" i="2"/>
  <c r="AB18" i="2"/>
  <c r="AF18" i="2" s="1"/>
  <c r="K19" i="2"/>
  <c r="S19" i="2"/>
  <c r="W19" i="2"/>
  <c r="AB19" i="2"/>
  <c r="AF19" i="2" s="1"/>
  <c r="K20" i="2"/>
  <c r="S20" i="2"/>
  <c r="W20" i="2"/>
  <c r="AB20" i="2"/>
  <c r="AF20" i="2" s="1"/>
  <c r="K21" i="2"/>
  <c r="S21" i="2"/>
  <c r="W21" i="2"/>
  <c r="AB21" i="2"/>
  <c r="AF21" i="2" s="1"/>
  <c r="K22" i="2"/>
  <c r="S22" i="2"/>
  <c r="W22" i="2"/>
  <c r="AB22" i="2"/>
  <c r="AF22" i="2" s="1"/>
  <c r="K23" i="2"/>
  <c r="S23" i="2"/>
  <c r="W23" i="2"/>
  <c r="AB23" i="2"/>
  <c r="AF23" i="2" s="1"/>
  <c r="K24" i="2"/>
  <c r="S24" i="2"/>
  <c r="W24" i="2"/>
  <c r="AB24" i="2"/>
  <c r="AF24" i="2" s="1"/>
  <c r="K25" i="2"/>
  <c r="S25" i="2"/>
  <c r="W25" i="2"/>
  <c r="AB25" i="2"/>
  <c r="AF25" i="2" s="1"/>
  <c r="K26" i="2"/>
  <c r="S26" i="2"/>
  <c r="W26" i="2"/>
  <c r="AB26" i="2"/>
  <c r="AF26" i="2" s="1"/>
  <c r="K27" i="2"/>
  <c r="S27" i="2"/>
  <c r="W27" i="2"/>
  <c r="AB27" i="2"/>
  <c r="AF27" i="2" s="1"/>
  <c r="K28" i="2"/>
  <c r="S28" i="2"/>
  <c r="W28" i="2"/>
  <c r="AB28" i="2"/>
  <c r="AF28" i="2" s="1"/>
  <c r="K29" i="2"/>
  <c r="S29" i="2"/>
  <c r="W29" i="2"/>
  <c r="AB29" i="2"/>
  <c r="AF29" i="2" s="1"/>
  <c r="M26" i="4"/>
  <c r="BC26" i="4"/>
  <c r="DE12" i="2" l="1"/>
  <c r="QT33" i="2"/>
  <c r="QT27" i="2"/>
  <c r="QT23" i="2"/>
  <c r="QT19" i="2"/>
  <c r="QT15" i="2"/>
  <c r="QT28" i="2"/>
  <c r="QT24" i="2"/>
  <c r="QT20" i="2"/>
  <c r="QT16" i="2"/>
  <c r="QT29" i="2"/>
  <c r="QT25" i="2"/>
  <c r="QT21" i="2"/>
  <c r="QT17" i="2"/>
  <c r="QT13" i="2"/>
  <c r="QT32" i="2"/>
  <c r="QT26" i="2"/>
  <c r="QT22" i="2"/>
  <c r="QT18" i="2"/>
  <c r="QT14" i="2"/>
  <c r="QW17" i="2"/>
  <c r="QW25" i="2"/>
  <c r="QW19" i="2"/>
  <c r="QW20" i="2"/>
  <c r="QW23" i="2"/>
  <c r="QW24" i="2"/>
  <c r="QW28" i="2"/>
  <c r="QW21" i="2"/>
  <c r="QW16" i="2"/>
  <c r="QW15" i="2"/>
  <c r="QW18" i="2"/>
  <c r="QW26" i="2"/>
  <c r="AE17" i="2"/>
  <c r="AE25" i="2"/>
  <c r="AE13" i="2"/>
  <c r="QT34" i="2" l="1"/>
  <c r="CN31" i="6"/>
  <c r="CF31" i="6" s="1"/>
  <c r="CN27" i="6"/>
  <c r="CF27" i="6" s="1"/>
  <c r="CN25" i="6"/>
  <c r="CF25" i="6" s="1"/>
  <c r="CN23" i="6"/>
  <c r="CF23" i="6" s="1"/>
  <c r="CN21" i="6"/>
  <c r="CF21" i="6" s="1"/>
  <c r="CN19" i="6"/>
  <c r="CF19" i="6" s="1"/>
  <c r="CN17" i="6"/>
  <c r="CF17" i="6" s="1"/>
  <c r="CN15" i="6"/>
  <c r="CF15" i="6" s="1"/>
  <c r="CN13" i="6"/>
  <c r="CF13" i="6" s="1"/>
  <c r="CN28" i="6"/>
  <c r="CF28" i="6" s="1"/>
  <c r="CN26" i="6"/>
  <c r="CF26" i="6" s="1"/>
  <c r="CN24" i="6"/>
  <c r="CF24" i="6" s="1"/>
  <c r="CN22" i="6"/>
  <c r="CF22" i="6" s="1"/>
  <c r="CN20" i="6"/>
  <c r="CF20" i="6" s="1"/>
  <c r="CN18" i="6"/>
  <c r="CF18" i="6" s="1"/>
  <c r="CN16" i="6"/>
  <c r="CF16" i="6" s="1"/>
  <c r="CN14" i="6"/>
  <c r="CF14" i="6" s="1"/>
  <c r="CN12" i="6"/>
  <c r="CF12" i="6" s="1"/>
  <c r="CN11" i="6"/>
  <c r="CF11" i="6" s="1"/>
  <c r="E438" i="8"/>
  <c r="E436" i="8"/>
  <c r="E389" i="8"/>
  <c r="E383" i="8"/>
  <c r="E381" i="8"/>
  <c r="E319" i="8"/>
  <c r="E317" i="8"/>
  <c r="E246" i="8"/>
  <c r="E224" i="8" s="1"/>
  <c r="E244" i="8"/>
  <c r="D108" i="8"/>
  <c r="E12" i="8"/>
  <c r="E14" i="8" s="1"/>
  <c r="G14" i="8" s="1"/>
  <c r="E385" i="8" l="1"/>
  <c r="E390" i="8"/>
  <c r="E386" i="8" s="1"/>
  <c r="CN29" i="6"/>
  <c r="CY30" i="6" l="1"/>
  <c r="CZ30" i="6"/>
  <c r="CY34" i="6"/>
  <c r="CZ34" i="6"/>
  <c r="CY35" i="6"/>
  <c r="CZ35" i="6"/>
  <c r="BG32" i="6" l="1"/>
  <c r="JE31" i="17" s="1"/>
  <c r="JF31" i="17" s="1"/>
  <c r="BG31" i="6"/>
  <c r="JE30" i="17" s="1"/>
  <c r="BG12" i="6"/>
  <c r="JE11" i="17" s="1"/>
  <c r="BG13" i="6"/>
  <c r="JE12" i="17" s="1"/>
  <c r="BG14" i="6"/>
  <c r="JE13" i="17" s="1"/>
  <c r="BG15" i="6"/>
  <c r="JE14" i="17" s="1"/>
  <c r="BG16" i="6"/>
  <c r="JE15" i="17" s="1"/>
  <c r="BG17" i="6"/>
  <c r="JE16" i="17" s="1"/>
  <c r="BG18" i="6"/>
  <c r="JE17" i="17" s="1"/>
  <c r="BG19" i="6"/>
  <c r="JE18" i="17" s="1"/>
  <c r="BG20" i="6"/>
  <c r="JE19" i="17" s="1"/>
  <c r="BG21" i="6"/>
  <c r="JE20" i="17" s="1"/>
  <c r="BG22" i="6"/>
  <c r="JE21" i="17" s="1"/>
  <c r="BG23" i="6"/>
  <c r="JE22" i="17" s="1"/>
  <c r="BG24" i="6"/>
  <c r="JE23" i="17" s="1"/>
  <c r="BG25" i="6"/>
  <c r="JE24" i="17" s="1"/>
  <c r="BG26" i="6"/>
  <c r="JE25" i="17" s="1"/>
  <c r="BG27" i="6"/>
  <c r="JE26" i="17" s="1"/>
  <c r="BG28" i="6"/>
  <c r="JE27" i="17" s="1"/>
  <c r="BG11" i="6"/>
  <c r="JE10" i="17" s="1"/>
  <c r="OH30" i="2"/>
  <c r="PK34" i="2"/>
  <c r="PR34" i="2"/>
  <c r="PQ34" i="2"/>
  <c r="PR30" i="2"/>
  <c r="PQ30" i="2"/>
  <c r="OP34" i="2"/>
  <c r="OO34" i="2"/>
  <c r="OP30" i="2"/>
  <c r="OO30" i="2"/>
  <c r="OI34" i="2"/>
  <c r="OH34" i="2"/>
  <c r="JE32" i="17" l="1"/>
  <c r="JF30" i="17"/>
  <c r="JF32" i="17" s="1"/>
  <c r="JF35" i="17" s="1"/>
  <c r="JE28" i="17"/>
  <c r="PQ37" i="2"/>
  <c r="OO37" i="2"/>
  <c r="OP37" i="2"/>
  <c r="PR37" i="2"/>
  <c r="PJ34" i="2"/>
  <c r="OI30" i="2"/>
  <c r="OI37" i="2" s="1"/>
  <c r="PK30" i="2"/>
  <c r="PK37" i="2" s="1"/>
  <c r="PJ30" i="2"/>
  <c r="OH37" i="2"/>
  <c r="JE35" i="17" l="1"/>
  <c r="JE36" i="17" s="1"/>
  <c r="PJ37" i="2"/>
  <c r="BZ61" i="2"/>
  <c r="BU61" i="2"/>
  <c r="DX61" i="2" l="1"/>
  <c r="DQ61" i="2"/>
  <c r="HN61" i="2"/>
  <c r="HK61" i="2"/>
  <c r="IQ60" i="2"/>
  <c r="IQ59" i="2"/>
  <c r="IQ56" i="2"/>
  <c r="JA60" i="2"/>
  <c r="JA59" i="2"/>
  <c r="JA56" i="2"/>
  <c r="JK55" i="2"/>
  <c r="JK54" i="2"/>
  <c r="JP55" i="2"/>
  <c r="JP54" i="2"/>
  <c r="IQ61" i="2" l="1"/>
  <c r="EH12" i="2" l="1"/>
  <c r="EH13" i="2"/>
  <c r="EH14" i="2"/>
  <c r="EH15" i="2"/>
  <c r="EH16" i="2"/>
  <c r="EH17" i="2"/>
  <c r="EH18" i="2"/>
  <c r="EH19" i="2"/>
  <c r="EH20" i="2"/>
  <c r="EH21" i="2"/>
  <c r="EH22" i="2"/>
  <c r="EH23" i="2"/>
  <c r="EH24" i="2"/>
  <c r="EH25" i="2"/>
  <c r="EH26" i="2"/>
  <c r="EH27" i="2"/>
  <c r="EH28" i="2"/>
  <c r="EH29" i="2"/>
  <c r="EI30" i="2"/>
  <c r="EJ30" i="2"/>
  <c r="EH32" i="2"/>
  <c r="EH33" i="2"/>
  <c r="EI34" i="2"/>
  <c r="EJ34" i="2"/>
  <c r="JP34" i="2"/>
  <c r="KJ34" i="2"/>
  <c r="EJ37" i="2" l="1"/>
  <c r="EJ42" i="2" s="1"/>
  <c r="EH30" i="2"/>
  <c r="EH34" i="2"/>
  <c r="EI37" i="2"/>
  <c r="EI42" i="2" s="1"/>
  <c r="EE29" i="2"/>
  <c r="EE15" i="2"/>
  <c r="EG34" i="2"/>
  <c r="JP30" i="2"/>
  <c r="JP37" i="2" s="1"/>
  <c r="KJ30" i="2"/>
  <c r="KJ37" i="2" s="1"/>
  <c r="EF34" i="2"/>
  <c r="JZ34" i="2"/>
  <c r="EE17" i="2"/>
  <c r="EE28" i="2"/>
  <c r="EE33" i="2"/>
  <c r="EE32" i="2"/>
  <c r="EE26" i="2"/>
  <c r="EE24" i="2"/>
  <c r="EE22" i="2"/>
  <c r="EE20" i="2"/>
  <c r="EE16" i="2"/>
  <c r="EE14" i="2"/>
  <c r="EE12" i="2"/>
  <c r="EE25" i="2"/>
  <c r="EE23" i="2"/>
  <c r="EE21" i="2"/>
  <c r="EE19" i="2"/>
  <c r="EE13" i="2"/>
  <c r="JP60" i="2" l="1"/>
  <c r="EH37" i="2"/>
  <c r="JA37" i="2"/>
  <c r="EG37" i="2"/>
  <c r="B16" i="7" s="1"/>
  <c r="EE34" i="2"/>
  <c r="JZ30" i="2"/>
  <c r="JZ37" i="2" s="1"/>
  <c r="JA54" i="2"/>
  <c r="JA55" i="2"/>
  <c r="KE30" i="2"/>
  <c r="KE34" i="2"/>
  <c r="JK34" i="2"/>
  <c r="JP59" i="2" l="1"/>
  <c r="JP56" i="2"/>
  <c r="JP53" i="2"/>
  <c r="JU34" i="2"/>
  <c r="IQ55" i="2"/>
  <c r="IQ54" i="2"/>
  <c r="JA57" i="2"/>
  <c r="JA53" i="2"/>
  <c r="KE37" i="2"/>
  <c r="JP57" i="2" l="1"/>
  <c r="JK60" i="2"/>
  <c r="JK53" i="2"/>
  <c r="JK56" i="2"/>
  <c r="IQ53" i="2"/>
  <c r="IQ57" i="2"/>
  <c r="JK57" i="2" l="1"/>
  <c r="JK59" i="2"/>
  <c r="E530" i="8"/>
  <c r="F530" i="8"/>
  <c r="D530" i="8"/>
  <c r="E437" i="8"/>
  <c r="F437" i="8"/>
  <c r="D437" i="8"/>
  <c r="H438" i="8"/>
  <c r="H436" i="8"/>
  <c r="G436" i="8"/>
  <c r="I436" i="8" s="1"/>
  <c r="E318" i="8"/>
  <c r="F318" i="8"/>
  <c r="F302" i="8" s="1"/>
  <c r="F303" i="8" s="1"/>
  <c r="G437" i="8" l="1"/>
  <c r="I437" i="8" s="1"/>
  <c r="H437" i="8"/>
  <c r="G438" i="8"/>
  <c r="I438" i="8" l="1"/>
  <c r="AK32" i="6" l="1"/>
  <c r="EO31" i="17" s="1"/>
  <c r="EP31" i="17" s="1"/>
  <c r="AK31" i="6"/>
  <c r="AK12" i="6"/>
  <c r="EO11" i="17" s="1"/>
  <c r="AK13" i="6"/>
  <c r="EO12" i="17" s="1"/>
  <c r="AK14" i="6"/>
  <c r="EO13" i="17" s="1"/>
  <c r="AK15" i="6"/>
  <c r="EO14" i="17" s="1"/>
  <c r="AK16" i="6"/>
  <c r="EO15" i="17" s="1"/>
  <c r="AK17" i="6"/>
  <c r="EO16" i="17" s="1"/>
  <c r="AK18" i="6"/>
  <c r="EO17" i="17" s="1"/>
  <c r="AK19" i="6"/>
  <c r="EO18" i="17" s="1"/>
  <c r="AK20" i="6"/>
  <c r="EO19" i="17" s="1"/>
  <c r="AK21" i="6"/>
  <c r="EO20" i="17" s="1"/>
  <c r="AK22" i="6"/>
  <c r="EO21" i="17" s="1"/>
  <c r="AK23" i="6"/>
  <c r="EO22" i="17" s="1"/>
  <c r="AK24" i="6"/>
  <c r="EO23" i="17" s="1"/>
  <c r="AK25" i="6"/>
  <c r="EO24" i="17" s="1"/>
  <c r="AK26" i="6"/>
  <c r="EO25" i="17" s="1"/>
  <c r="AK27" i="6"/>
  <c r="EO26" i="17" s="1"/>
  <c r="AK28" i="6"/>
  <c r="EO27" i="17" s="1"/>
  <c r="AK11" i="6"/>
  <c r="EO10" i="17" s="1"/>
  <c r="EO30" i="17" l="1"/>
  <c r="EO32" i="17" s="1"/>
  <c r="AJ32" i="6"/>
  <c r="EK31" i="17" s="1"/>
  <c r="EL31" i="17" s="1"/>
  <c r="AJ31" i="6"/>
  <c r="EK30" i="17" s="1"/>
  <c r="AJ12" i="6"/>
  <c r="EK11" i="17" s="1"/>
  <c r="AJ13" i="6"/>
  <c r="EK12" i="17" s="1"/>
  <c r="AJ14" i="6"/>
  <c r="EK13" i="17" s="1"/>
  <c r="AJ15" i="6"/>
  <c r="EK14" i="17" s="1"/>
  <c r="AJ16" i="6"/>
  <c r="EK15" i="17" s="1"/>
  <c r="AJ17" i="6"/>
  <c r="EK16" i="17" s="1"/>
  <c r="AJ18" i="6"/>
  <c r="EK17" i="17" s="1"/>
  <c r="AJ19" i="6"/>
  <c r="EK18" i="17" s="1"/>
  <c r="AJ20" i="6"/>
  <c r="EK19" i="17" s="1"/>
  <c r="AJ21" i="6"/>
  <c r="EK20" i="17" s="1"/>
  <c r="AJ22" i="6"/>
  <c r="EK21" i="17" s="1"/>
  <c r="AJ23" i="6"/>
  <c r="EK22" i="17" s="1"/>
  <c r="AJ24" i="6"/>
  <c r="EK23" i="17" s="1"/>
  <c r="AJ25" i="6"/>
  <c r="EK24" i="17" s="1"/>
  <c r="AJ26" i="6"/>
  <c r="EK25" i="17" s="1"/>
  <c r="AJ27" i="6"/>
  <c r="EK26" i="17" s="1"/>
  <c r="AJ28" i="6"/>
  <c r="EK27" i="17" s="1"/>
  <c r="AJ11" i="6"/>
  <c r="EK10" i="17" s="1"/>
  <c r="EP30" i="17" l="1"/>
  <c r="EP32" i="17" s="1"/>
  <c r="EP35" i="17" s="1"/>
  <c r="EL30" i="17"/>
  <c r="EL32" i="17" s="1"/>
  <c r="EL35" i="17" s="1"/>
  <c r="EK32" i="17"/>
  <c r="EK28" i="17"/>
  <c r="EK35" i="17" l="1"/>
  <c r="EK36" i="17" s="1"/>
  <c r="D329" i="8" l="1"/>
  <c r="RH12" i="2" l="1"/>
  <c r="I33" i="11"/>
  <c r="H33" i="11"/>
  <c r="HT12" i="2"/>
  <c r="HZ12" i="2"/>
  <c r="AT11" i="1" s="1"/>
  <c r="II12" i="2"/>
  <c r="IJ12" i="2"/>
  <c r="EY10" i="17" s="1"/>
  <c r="IN12" i="2"/>
  <c r="HT13" i="2"/>
  <c r="IN13" i="2"/>
  <c r="HT14" i="2"/>
  <c r="HZ14" i="2"/>
  <c r="AT13" i="1" s="1"/>
  <c r="II14" i="2"/>
  <c r="IJ14" i="2"/>
  <c r="EY12" i="17" s="1"/>
  <c r="S12" i="17" s="1"/>
  <c r="IN14" i="2"/>
  <c r="HT15" i="2"/>
  <c r="HZ15" i="2"/>
  <c r="AT14" i="1" s="1"/>
  <c r="II15" i="2"/>
  <c r="IJ15" i="2"/>
  <c r="EY13" i="17" s="1"/>
  <c r="S13" i="17" s="1"/>
  <c r="IN15" i="2"/>
  <c r="HT16" i="2"/>
  <c r="HZ16" i="2"/>
  <c r="AT15" i="1" s="1"/>
  <c r="II16" i="2"/>
  <c r="IJ16" i="2"/>
  <c r="EY14" i="17" s="1"/>
  <c r="S14" i="17" s="1"/>
  <c r="IN16" i="2"/>
  <c r="HT17" i="2"/>
  <c r="IN17" i="2"/>
  <c r="HT18" i="2"/>
  <c r="HZ18" i="2"/>
  <c r="AT17" i="1" s="1"/>
  <c r="II18" i="2"/>
  <c r="IJ18" i="2"/>
  <c r="EY16" i="17" s="1"/>
  <c r="S16" i="17" s="1"/>
  <c r="IN18" i="2"/>
  <c r="HT20" i="2"/>
  <c r="IN20" i="2"/>
  <c r="HT21" i="2"/>
  <c r="HZ21" i="2"/>
  <c r="AT20" i="1" s="1"/>
  <c r="II21" i="2"/>
  <c r="IJ21" i="2"/>
  <c r="EY19" i="17" s="1"/>
  <c r="S19" i="17" s="1"/>
  <c r="IN21" i="2"/>
  <c r="HT22" i="2"/>
  <c r="HZ22" i="2"/>
  <c r="AT21" i="1" s="1"/>
  <c r="II22" i="2"/>
  <c r="IJ22" i="2"/>
  <c r="EY20" i="17" s="1"/>
  <c r="S20" i="17" s="1"/>
  <c r="IN22" i="2"/>
  <c r="HT23" i="2"/>
  <c r="HZ23" i="2"/>
  <c r="AT22" i="1" s="1"/>
  <c r="II23" i="2"/>
  <c r="IJ23" i="2"/>
  <c r="EY21" i="17" s="1"/>
  <c r="S21" i="17" s="1"/>
  <c r="IN23" i="2"/>
  <c r="HT24" i="2"/>
  <c r="HZ24" i="2"/>
  <c r="AT23" i="1" s="1"/>
  <c r="II24" i="2"/>
  <c r="IJ24" i="2"/>
  <c r="EY22" i="17" s="1"/>
  <c r="S22" i="17" s="1"/>
  <c r="IN24" i="2"/>
  <c r="HT25" i="2"/>
  <c r="HZ25" i="2"/>
  <c r="AT24" i="1" s="1"/>
  <c r="II25" i="2"/>
  <c r="IJ25" i="2"/>
  <c r="EY23" i="17" s="1"/>
  <c r="S23" i="17" s="1"/>
  <c r="IN25" i="2"/>
  <c r="HT26" i="2"/>
  <c r="HZ26" i="2"/>
  <c r="AT25" i="1" s="1"/>
  <c r="II26" i="2"/>
  <c r="IJ26" i="2"/>
  <c r="EY24" i="17" s="1"/>
  <c r="S24" i="17" s="1"/>
  <c r="IN26" i="2"/>
  <c r="IN27" i="2"/>
  <c r="HT28" i="2"/>
  <c r="HZ28" i="2"/>
  <c r="II28" i="2"/>
  <c r="IJ28" i="2"/>
  <c r="EY26" i="17" s="1"/>
  <c r="IN28" i="2"/>
  <c r="HT29" i="2"/>
  <c r="HZ29" i="2"/>
  <c r="AT28" i="1" s="1"/>
  <c r="II29" i="2"/>
  <c r="IJ29" i="2"/>
  <c r="EY27" i="17" s="1"/>
  <c r="S27" i="17" s="1"/>
  <c r="IN29" i="2"/>
  <c r="HT32" i="2"/>
  <c r="HT33" i="2"/>
  <c r="HU34" i="2"/>
  <c r="HV34" i="2"/>
  <c r="IA34" i="2"/>
  <c r="IB34" i="2"/>
  <c r="IO34" i="2"/>
  <c r="IP34" i="2"/>
  <c r="BF32" i="6"/>
  <c r="JA31" i="17" s="1"/>
  <c r="JB31" i="17" s="1"/>
  <c r="BF31" i="6"/>
  <c r="JA30" i="17" s="1"/>
  <c r="BF12" i="6"/>
  <c r="JA11" i="17" s="1"/>
  <c r="BF13" i="6"/>
  <c r="JA12" i="17" s="1"/>
  <c r="BF14" i="6"/>
  <c r="JA13" i="17" s="1"/>
  <c r="BF15" i="6"/>
  <c r="JA14" i="17" s="1"/>
  <c r="BF16" i="6"/>
  <c r="JA15" i="17" s="1"/>
  <c r="BF17" i="6"/>
  <c r="JA16" i="17" s="1"/>
  <c r="BF18" i="6"/>
  <c r="JA17" i="17" s="1"/>
  <c r="BF19" i="6"/>
  <c r="JA18" i="17" s="1"/>
  <c r="BF20" i="6"/>
  <c r="JA19" i="17" s="1"/>
  <c r="BF21" i="6"/>
  <c r="JA20" i="17" s="1"/>
  <c r="BF22" i="6"/>
  <c r="JA21" i="17" s="1"/>
  <c r="BF23" i="6"/>
  <c r="JA22" i="17" s="1"/>
  <c r="BF24" i="6"/>
  <c r="JA23" i="17" s="1"/>
  <c r="BF25" i="6"/>
  <c r="JA24" i="17" s="1"/>
  <c r="BF26" i="6"/>
  <c r="JA25" i="17" s="1"/>
  <c r="BF27" i="6"/>
  <c r="JA26" i="17" s="1"/>
  <c r="BF28" i="6"/>
  <c r="JA27" i="17" s="1"/>
  <c r="BF11" i="6"/>
  <c r="JA10" i="17" s="1"/>
  <c r="HN33" i="2"/>
  <c r="DX33" i="2"/>
  <c r="HN32" i="2"/>
  <c r="DX32" i="2"/>
  <c r="BJ13" i="2"/>
  <c r="BK13" i="2"/>
  <c r="BL13" i="2"/>
  <c r="DX13" i="2"/>
  <c r="HN13" i="2"/>
  <c r="BJ14" i="2"/>
  <c r="BK14" i="2"/>
  <c r="BL14" i="2"/>
  <c r="DF14" i="2"/>
  <c r="DX14" i="2"/>
  <c r="HN14" i="2"/>
  <c r="BJ15" i="2"/>
  <c r="BK15" i="2"/>
  <c r="BL15" i="2"/>
  <c r="DF15" i="2"/>
  <c r="DX15" i="2"/>
  <c r="HN15" i="2"/>
  <c r="BJ16" i="2"/>
  <c r="BK16" i="2"/>
  <c r="BL16" i="2"/>
  <c r="DF16" i="2"/>
  <c r="DX16" i="2"/>
  <c r="HN16" i="2"/>
  <c r="BJ17" i="2"/>
  <c r="BK17" i="2"/>
  <c r="BL17" i="2"/>
  <c r="CR17" i="2"/>
  <c r="DF17" i="2"/>
  <c r="DX17" i="2"/>
  <c r="HN17" i="2"/>
  <c r="BJ18" i="2"/>
  <c r="BK18" i="2"/>
  <c r="BL18" i="2"/>
  <c r="DF18" i="2"/>
  <c r="DX18" i="2"/>
  <c r="HN18" i="2"/>
  <c r="BJ19" i="2"/>
  <c r="BK19" i="2"/>
  <c r="BL19" i="2"/>
  <c r="DF19" i="2"/>
  <c r="DX19" i="2"/>
  <c r="HN19" i="2"/>
  <c r="BJ20" i="2"/>
  <c r="BK20" i="2"/>
  <c r="BL20" i="2"/>
  <c r="DF20" i="2"/>
  <c r="DX20" i="2"/>
  <c r="HN20" i="2"/>
  <c r="BJ21" i="2"/>
  <c r="BK21" i="2"/>
  <c r="BL21" i="2"/>
  <c r="DF21" i="2"/>
  <c r="DX21" i="2"/>
  <c r="HN21" i="2"/>
  <c r="BJ22" i="2"/>
  <c r="BK22" i="2"/>
  <c r="BL22" i="2"/>
  <c r="DF22" i="2"/>
  <c r="DX22" i="2"/>
  <c r="HN22" i="2"/>
  <c r="BJ23" i="2"/>
  <c r="BK23" i="2"/>
  <c r="BL23" i="2"/>
  <c r="DF23" i="2"/>
  <c r="DX23" i="2"/>
  <c r="HN23" i="2"/>
  <c r="BJ24" i="2"/>
  <c r="BK24" i="2"/>
  <c r="BL24" i="2"/>
  <c r="CR24" i="2"/>
  <c r="BF23" i="1" s="1"/>
  <c r="DF24" i="2"/>
  <c r="DX24" i="2"/>
  <c r="HN24" i="2"/>
  <c r="BJ25" i="2"/>
  <c r="BK25" i="2"/>
  <c r="BL25" i="2"/>
  <c r="CR25" i="2"/>
  <c r="DF25" i="2"/>
  <c r="DX25" i="2"/>
  <c r="HN25" i="2"/>
  <c r="BJ26" i="2"/>
  <c r="BK26" i="2"/>
  <c r="BL26" i="2"/>
  <c r="CR26" i="2"/>
  <c r="DF26" i="2"/>
  <c r="DX26" i="2"/>
  <c r="HN26" i="2"/>
  <c r="BJ27" i="2"/>
  <c r="BK27" i="2"/>
  <c r="BL27" i="2"/>
  <c r="CR27" i="2"/>
  <c r="DF27" i="2"/>
  <c r="DX27" i="2"/>
  <c r="HN27" i="2"/>
  <c r="BJ28" i="2"/>
  <c r="BK28" i="2"/>
  <c r="BL28" i="2"/>
  <c r="CR28" i="2"/>
  <c r="BF27" i="1" s="1"/>
  <c r="DF28" i="2"/>
  <c r="DX28" i="2"/>
  <c r="HN28" i="2"/>
  <c r="BJ29" i="2"/>
  <c r="BK29" i="2"/>
  <c r="BL29" i="2"/>
  <c r="DF29" i="2"/>
  <c r="DX29" i="2"/>
  <c r="HN29" i="2"/>
  <c r="W8" i="4"/>
  <c r="BF25" i="1" l="1"/>
  <c r="AJ24" i="2"/>
  <c r="AJ32" i="2"/>
  <c r="BF26" i="1"/>
  <c r="BF16" i="1"/>
  <c r="AJ14" i="2"/>
  <c r="AJ33" i="2"/>
  <c r="AJ29" i="2"/>
  <c r="BF24" i="1"/>
  <c r="AJ26" i="2"/>
  <c r="AJ22" i="2"/>
  <c r="AJ18" i="2"/>
  <c r="AJ15" i="2"/>
  <c r="AJ23" i="2"/>
  <c r="AJ16" i="2"/>
  <c r="AJ25" i="2"/>
  <c r="AJ21" i="2"/>
  <c r="H24" i="17"/>
  <c r="H20" i="17"/>
  <c r="H16" i="17"/>
  <c r="H12" i="17"/>
  <c r="H21" i="17"/>
  <c r="H13" i="17"/>
  <c r="H22" i="17"/>
  <c r="H14" i="17"/>
  <c r="H27" i="17"/>
  <c r="H23" i="17"/>
  <c r="H19" i="17"/>
  <c r="BI14" i="2"/>
  <c r="JA32" i="17"/>
  <c r="JB30" i="17"/>
  <c r="JB32" i="17" s="1"/>
  <c r="JB35" i="17" s="1"/>
  <c r="JA28" i="17"/>
  <c r="RE12" i="2"/>
  <c r="RD12" i="2" s="1"/>
  <c r="RH33" i="2"/>
  <c r="RE33" i="2" s="1"/>
  <c r="RD33" i="2" s="1"/>
  <c r="RH27" i="2"/>
  <c r="RE27" i="2" s="1"/>
  <c r="RD27" i="2" s="1"/>
  <c r="RH23" i="2"/>
  <c r="RE23" i="2" s="1"/>
  <c r="RD23" i="2" s="1"/>
  <c r="RH19" i="2"/>
  <c r="RE19" i="2" s="1"/>
  <c r="RD19" i="2" s="1"/>
  <c r="RH15" i="2"/>
  <c r="RE15" i="2" s="1"/>
  <c r="RD15" i="2" s="1"/>
  <c r="RH28" i="2"/>
  <c r="RE28" i="2" s="1"/>
  <c r="RD28" i="2" s="1"/>
  <c r="RH24" i="2"/>
  <c r="RE24" i="2" s="1"/>
  <c r="RD24" i="2" s="1"/>
  <c r="RH20" i="2"/>
  <c r="RE20" i="2" s="1"/>
  <c r="RD20" i="2" s="1"/>
  <c r="RH16" i="2"/>
  <c r="RE16" i="2" s="1"/>
  <c r="RD16" i="2" s="1"/>
  <c r="RH29" i="2"/>
  <c r="RE29" i="2" s="1"/>
  <c r="RD29" i="2" s="1"/>
  <c r="RH25" i="2"/>
  <c r="RE25" i="2" s="1"/>
  <c r="RD25" i="2" s="1"/>
  <c r="RH21" i="2"/>
  <c r="RE21" i="2" s="1"/>
  <c r="RD21" i="2" s="1"/>
  <c r="RH17" i="2"/>
  <c r="RE17" i="2" s="1"/>
  <c r="RD17" i="2" s="1"/>
  <c r="RH13" i="2"/>
  <c r="RE13" i="2" s="1"/>
  <c r="RD13" i="2" s="1"/>
  <c r="RH32" i="2"/>
  <c r="RE32" i="2" s="1"/>
  <c r="RD32" i="2" s="1"/>
  <c r="RH26" i="2"/>
  <c r="RE26" i="2" s="1"/>
  <c r="RD26" i="2" s="1"/>
  <c r="RH22" i="2"/>
  <c r="RE22" i="2" s="1"/>
  <c r="RD22" i="2" s="1"/>
  <c r="RH18" i="2"/>
  <c r="RE18" i="2" s="1"/>
  <c r="RD18" i="2" s="1"/>
  <c r="RH14" i="2"/>
  <c r="RE14" i="2" s="1"/>
  <c r="RD14" i="2" s="1"/>
  <c r="BI29" i="2"/>
  <c r="BI27" i="2"/>
  <c r="BI25" i="2"/>
  <c r="BI22" i="2"/>
  <c r="BI18" i="2"/>
  <c r="BI15" i="2"/>
  <c r="BI23" i="2"/>
  <c r="BI19" i="2"/>
  <c r="BI16" i="2"/>
  <c r="BI28" i="2"/>
  <c r="BI26" i="2"/>
  <c r="BI24" i="2"/>
  <c r="BI20" i="2"/>
  <c r="BI17" i="2"/>
  <c r="BI21" i="2"/>
  <c r="BI13" i="2"/>
  <c r="CP28" i="2"/>
  <c r="CP27" i="2"/>
  <c r="CP26" i="2"/>
  <c r="CP25" i="2"/>
  <c r="CP24" i="2"/>
  <c r="CP17" i="2"/>
  <c r="CR20" i="2"/>
  <c r="BF19" i="1" s="1"/>
  <c r="CR16" i="2"/>
  <c r="BF15" i="1" s="1"/>
  <c r="CR29" i="2"/>
  <c r="BF28" i="1" s="1"/>
  <c r="CR21" i="2"/>
  <c r="BF20" i="1" s="1"/>
  <c r="CR22" i="2"/>
  <c r="BF21" i="1" s="1"/>
  <c r="CR18" i="2"/>
  <c r="BF17" i="1" s="1"/>
  <c r="CR14" i="2"/>
  <c r="BF13" i="1" s="1"/>
  <c r="CR13" i="2"/>
  <c r="CR23" i="2"/>
  <c r="BF22" i="1" s="1"/>
  <c r="CR19" i="2"/>
  <c r="CR15" i="2"/>
  <c r="BF14" i="1" s="1"/>
  <c r="SL30" i="2"/>
  <c r="SL45" i="2" s="1"/>
  <c r="BA8" i="4"/>
  <c r="IN34" i="2"/>
  <c r="IH29" i="2"/>
  <c r="IH21" i="2"/>
  <c r="IH25" i="2"/>
  <c r="IJ34" i="2"/>
  <c r="HT34" i="2"/>
  <c r="HT55" i="2" s="1"/>
  <c r="HZ34" i="2"/>
  <c r="IH28" i="2"/>
  <c r="IH24" i="2"/>
  <c r="IH16" i="2"/>
  <c r="IH12" i="2"/>
  <c r="II34" i="2"/>
  <c r="IH14" i="2"/>
  <c r="IH26" i="2"/>
  <c r="IH22" i="2"/>
  <c r="IH18" i="2"/>
  <c r="IH23" i="2"/>
  <c r="IH15" i="2"/>
  <c r="V8" i="4"/>
  <c r="BF18" i="2"/>
  <c r="BG17" i="2"/>
  <c r="IK24" i="2"/>
  <c r="IK23" i="2"/>
  <c r="HQ23" i="2"/>
  <c r="IG18" i="2"/>
  <c r="EU16" i="17" s="1"/>
  <c r="BF29" i="2"/>
  <c r="BG28" i="2"/>
  <c r="BH27" i="2"/>
  <c r="BH23" i="2"/>
  <c r="BF21" i="2"/>
  <c r="BG20" i="2"/>
  <c r="BH19" i="2"/>
  <c r="BF17" i="2"/>
  <c r="BG16" i="2"/>
  <c r="BH15" i="2"/>
  <c r="HQ17" i="2"/>
  <c r="BG14" i="2"/>
  <c r="IL34" i="2"/>
  <c r="IK28" i="2"/>
  <c r="IK29" i="2"/>
  <c r="HQ29" i="2"/>
  <c r="IK21" i="2"/>
  <c r="HQ21" i="2"/>
  <c r="IK27" i="2"/>
  <c r="HQ18" i="2"/>
  <c r="HS34" i="2"/>
  <c r="DE18" i="2"/>
  <c r="HK13" i="2"/>
  <c r="DE21" i="2"/>
  <c r="IF28" i="2"/>
  <c r="IK25" i="2"/>
  <c r="HQ25" i="2"/>
  <c r="IG20" i="2"/>
  <c r="EU18" i="17" s="1"/>
  <c r="IK18" i="2"/>
  <c r="IG15" i="2"/>
  <c r="EU13" i="17" s="1"/>
  <c r="O13" i="17" s="1"/>
  <c r="IK14" i="2"/>
  <c r="HQ13" i="2"/>
  <c r="IG12" i="2"/>
  <c r="EU10" i="17" s="1"/>
  <c r="HK14" i="2"/>
  <c r="IM34" i="2"/>
  <c r="HK17" i="2"/>
  <c r="DE25" i="2"/>
  <c r="HK18" i="2"/>
  <c r="DE16" i="2"/>
  <c r="BH16" i="2"/>
  <c r="IF26" i="2"/>
  <c r="IK22" i="2"/>
  <c r="HQ16" i="2"/>
  <c r="HW15" i="2"/>
  <c r="BH18" i="2"/>
  <c r="BG29" i="2"/>
  <c r="BH28" i="2"/>
  <c r="HK27" i="2"/>
  <c r="BF26" i="2"/>
  <c r="BG25" i="2"/>
  <c r="BH24" i="2"/>
  <c r="HK23" i="2"/>
  <c r="BF22" i="2"/>
  <c r="BG21" i="2"/>
  <c r="BH20" i="2"/>
  <c r="HK19" i="2"/>
  <c r="BG18" i="2"/>
  <c r="BF15" i="2"/>
  <c r="HQ33" i="2"/>
  <c r="HQ32" i="2"/>
  <c r="IG28" i="2"/>
  <c r="EU26" i="17" s="1"/>
  <c r="IF20" i="2"/>
  <c r="HQ15" i="2"/>
  <c r="HQ14" i="2"/>
  <c r="BG22" i="2"/>
  <c r="BH21" i="2"/>
  <c r="HK20" i="2"/>
  <c r="BF13" i="2"/>
  <c r="HQ28" i="2"/>
  <c r="HQ26" i="2"/>
  <c r="HQ24" i="2"/>
  <c r="HQ22" i="2"/>
  <c r="HQ20" i="2"/>
  <c r="IK17" i="2"/>
  <c r="IK16" i="2"/>
  <c r="IF15" i="2"/>
  <c r="HQ12" i="2"/>
  <c r="HK26" i="2"/>
  <c r="BF25" i="2"/>
  <c r="HK15" i="2"/>
  <c r="HX34" i="2"/>
  <c r="IF29" i="2"/>
  <c r="IK26" i="2"/>
  <c r="IF25" i="2"/>
  <c r="IF23" i="2"/>
  <c r="IF21" i="2"/>
  <c r="IK20" i="2"/>
  <c r="HW18" i="2"/>
  <c r="IK13" i="2"/>
  <c r="IK12" i="2"/>
  <c r="DE28" i="2"/>
  <c r="DE24" i="2"/>
  <c r="DE20" i="2"/>
  <c r="DE17" i="2"/>
  <c r="DE15" i="2"/>
  <c r="HY34" i="2"/>
  <c r="HW28" i="2"/>
  <c r="HW20" i="2"/>
  <c r="IK15" i="2"/>
  <c r="HW12" i="2"/>
  <c r="BH29" i="2"/>
  <c r="HK28" i="2"/>
  <c r="DE26" i="2"/>
  <c r="BF23" i="2"/>
  <c r="BF20" i="2"/>
  <c r="BF28" i="2"/>
  <c r="BH26" i="2"/>
  <c r="HK22" i="2"/>
  <c r="DQ20" i="2"/>
  <c r="BH14" i="2"/>
  <c r="HR34" i="2"/>
  <c r="IF18" i="2"/>
  <c r="IF12" i="2"/>
  <c r="DE19" i="2"/>
  <c r="BF19" i="2"/>
  <c r="HK16" i="2"/>
  <c r="DQ32" i="2"/>
  <c r="DE29" i="2"/>
  <c r="BF16" i="2"/>
  <c r="DQ27" i="2"/>
  <c r="DE27" i="2"/>
  <c r="DQ26" i="2"/>
  <c r="BG26" i="2"/>
  <c r="HK25" i="2"/>
  <c r="BH25" i="2"/>
  <c r="HK24" i="2"/>
  <c r="BG24" i="2"/>
  <c r="BF24" i="2"/>
  <c r="BH22" i="2"/>
  <c r="HK21" i="2"/>
  <c r="DQ18" i="2"/>
  <c r="BH17" i="2"/>
  <c r="DQ14" i="2"/>
  <c r="BH13" i="2"/>
  <c r="BG13" i="2"/>
  <c r="HK33" i="2"/>
  <c r="HK29" i="2"/>
  <c r="DQ24" i="2"/>
  <c r="DQ21" i="2"/>
  <c r="DQ28" i="2"/>
  <c r="BF27" i="2"/>
  <c r="DQ25" i="2"/>
  <c r="BG23" i="2"/>
  <c r="DQ17" i="2"/>
  <c r="DQ16" i="2"/>
  <c r="DQ13" i="2"/>
  <c r="DQ33" i="2"/>
  <c r="DQ29" i="2"/>
  <c r="BG27" i="2"/>
  <c r="DQ23" i="2"/>
  <c r="DE23" i="2"/>
  <c r="DQ22" i="2"/>
  <c r="DQ19" i="2"/>
  <c r="BG19" i="2"/>
  <c r="DQ15" i="2"/>
  <c r="BG15" i="2"/>
  <c r="BF14" i="2"/>
  <c r="AZ8" i="4"/>
  <c r="D13" i="17" l="1"/>
  <c r="JA35" i="17"/>
  <c r="JA36" i="17" s="1"/>
  <c r="RH34" i="2"/>
  <c r="RH30" i="2"/>
  <c r="BE24" i="2"/>
  <c r="BE20" i="2"/>
  <c r="BE16" i="2"/>
  <c r="BE28" i="2"/>
  <c r="BE14" i="2"/>
  <c r="BE27" i="2"/>
  <c r="BE13" i="2"/>
  <c r="BE26" i="2"/>
  <c r="BE19" i="2"/>
  <c r="BE23" i="2"/>
  <c r="BE15" i="2"/>
  <c r="BE21" i="2"/>
  <c r="BE29" i="2"/>
  <c r="BE25" i="2"/>
  <c r="BE18" i="2"/>
  <c r="BE22" i="2"/>
  <c r="BE17" i="2"/>
  <c r="CP19" i="2"/>
  <c r="CP23" i="2"/>
  <c r="CP22" i="2"/>
  <c r="CP20" i="2"/>
  <c r="CP15" i="2"/>
  <c r="CP14" i="2"/>
  <c r="CP29" i="2"/>
  <c r="CP18" i="2"/>
  <c r="CP16" i="2"/>
  <c r="CP13" i="2"/>
  <c r="CP21" i="2"/>
  <c r="CQ19" i="2"/>
  <c r="CQ23" i="2"/>
  <c r="AB22" i="1" s="1"/>
  <c r="CQ20" i="2"/>
  <c r="AB19" i="1" s="1"/>
  <c r="CQ15" i="2"/>
  <c r="AB14" i="1" s="1"/>
  <c r="CQ21" i="2"/>
  <c r="AB20" i="1" s="1"/>
  <c r="CQ24" i="2"/>
  <c r="AB23" i="1" s="1"/>
  <c r="CQ17" i="2"/>
  <c r="AB16" i="1" s="1"/>
  <c r="CQ18" i="2"/>
  <c r="AB17" i="1" s="1"/>
  <c r="CQ26" i="2"/>
  <c r="AB25" i="1" s="1"/>
  <c r="CQ28" i="2"/>
  <c r="AB27" i="1" s="1"/>
  <c r="CQ25" i="2"/>
  <c r="AB24" i="1" s="1"/>
  <c r="CQ16" i="2"/>
  <c r="AB15" i="1" s="1"/>
  <c r="CQ29" i="2"/>
  <c r="RD34" i="2"/>
  <c r="RD44" i="2" s="1"/>
  <c r="RE34" i="2"/>
  <c r="RE30" i="2"/>
  <c r="RD30" i="2"/>
  <c r="QT12" i="2"/>
  <c r="IH34" i="2"/>
  <c r="HQ34" i="2"/>
  <c r="HQ55" i="2" s="1"/>
  <c r="IE15" i="2"/>
  <c r="IG34" i="2"/>
  <c r="IE28" i="2"/>
  <c r="IE18" i="2"/>
  <c r="IE20" i="2"/>
  <c r="IK34" i="2"/>
  <c r="HW34" i="2"/>
  <c r="IE12" i="2"/>
  <c r="IF34" i="2"/>
  <c r="RH37" i="2" l="1"/>
  <c r="RE37" i="2"/>
  <c r="CO17" i="2"/>
  <c r="CO15" i="2"/>
  <c r="CO21" i="2"/>
  <c r="CO16" i="2"/>
  <c r="CO19" i="2"/>
  <c r="CO29" i="2"/>
  <c r="CO23" i="2"/>
  <c r="CO28" i="2"/>
  <c r="CO24" i="2"/>
  <c r="CO20" i="2"/>
  <c r="CO18" i="2"/>
  <c r="CO25" i="2"/>
  <c r="CO26" i="2"/>
  <c r="QT30" i="2"/>
  <c r="QT37" i="2" s="1"/>
  <c r="QT38" i="2" s="1"/>
  <c r="RD45" i="2"/>
  <c r="RD37" i="2"/>
  <c r="RD38" i="2" s="1"/>
  <c r="IE34" i="2"/>
  <c r="RD49" i="2" l="1"/>
  <c r="RD39" i="2"/>
  <c r="D254" i="8" l="1"/>
  <c r="DX12" i="2"/>
  <c r="DY34" i="2"/>
  <c r="DY30" i="2"/>
  <c r="M30" i="3"/>
  <c r="M26" i="3"/>
  <c r="J230" i="8"/>
  <c r="J101" i="8"/>
  <c r="H9" i="11"/>
  <c r="I9" i="11"/>
  <c r="H14" i="11"/>
  <c r="I14" i="11"/>
  <c r="H11" i="8"/>
  <c r="I11" i="8"/>
  <c r="G12" i="8"/>
  <c r="I12" i="8" s="1"/>
  <c r="H12" i="8"/>
  <c r="I14" i="8"/>
  <c r="H14" i="8"/>
  <c r="D16" i="8"/>
  <c r="D19" i="8"/>
  <c r="D31" i="8"/>
  <c r="H33" i="8"/>
  <c r="I33" i="8"/>
  <c r="H38" i="8"/>
  <c r="I38" i="8"/>
  <c r="D40" i="8"/>
  <c r="D35" i="8" s="1"/>
  <c r="H50" i="8"/>
  <c r="I50" i="8"/>
  <c r="H61" i="8"/>
  <c r="I61" i="8"/>
  <c r="D62" i="8"/>
  <c r="H75" i="8"/>
  <c r="I75" i="8"/>
  <c r="H79" i="8"/>
  <c r="I79" i="8"/>
  <c r="D81" i="8"/>
  <c r="G102" i="8"/>
  <c r="H102" i="8"/>
  <c r="D103" i="8"/>
  <c r="G105" i="8"/>
  <c r="I105" i="8" s="1"/>
  <c r="H105" i="8"/>
  <c r="D106" i="8"/>
  <c r="D111" i="8"/>
  <c r="H113" i="8"/>
  <c r="I113" i="8"/>
  <c r="H117" i="8"/>
  <c r="I117" i="8"/>
  <c r="G123" i="8"/>
  <c r="G115" i="8" s="1"/>
  <c r="H123" i="8"/>
  <c r="D124" i="8"/>
  <c r="G126" i="8"/>
  <c r="I126" i="8" s="1"/>
  <c r="H126" i="8"/>
  <c r="D127" i="8"/>
  <c r="C12" i="16" s="1"/>
  <c r="F12" i="16" s="1"/>
  <c r="I134" i="8"/>
  <c r="H139" i="8"/>
  <c r="I139" i="8"/>
  <c r="J153" i="8"/>
  <c r="G154" i="8"/>
  <c r="H154" i="8"/>
  <c r="G157" i="8"/>
  <c r="H157" i="8"/>
  <c r="G151" i="8"/>
  <c r="I151" i="8" s="1"/>
  <c r="H151" i="8"/>
  <c r="D152" i="8"/>
  <c r="I159" i="8"/>
  <c r="H164" i="8"/>
  <c r="I164" i="8"/>
  <c r="J169" i="8"/>
  <c r="G179" i="8"/>
  <c r="H179" i="8"/>
  <c r="H208" i="8"/>
  <c r="I208" i="8"/>
  <c r="H224" i="8"/>
  <c r="H226" i="8"/>
  <c r="I226" i="8"/>
  <c r="D231" i="8"/>
  <c r="G232" i="8"/>
  <c r="I232" i="8" s="1"/>
  <c r="H232" i="8"/>
  <c r="D234" i="8"/>
  <c r="G235" i="8"/>
  <c r="I235" i="8" s="1"/>
  <c r="H235" i="8"/>
  <c r="D228" i="8"/>
  <c r="G229" i="8"/>
  <c r="I229" i="8" s="1"/>
  <c r="H229" i="8"/>
  <c r="G244" i="8"/>
  <c r="H244" i="8"/>
  <c r="D245" i="8"/>
  <c r="E245" i="8"/>
  <c r="F245" i="8"/>
  <c r="G246" i="8"/>
  <c r="H246" i="8"/>
  <c r="H247" i="8"/>
  <c r="I247" i="8"/>
  <c r="H252" i="8"/>
  <c r="I252" i="8"/>
  <c r="D263" i="8"/>
  <c r="J271" i="8"/>
  <c r="J272" i="8" s="1"/>
  <c r="D272" i="8"/>
  <c r="D275" i="8"/>
  <c r="I286" i="8"/>
  <c r="H286" i="8"/>
  <c r="I290" i="8"/>
  <c r="H290" i="8"/>
  <c r="G299" i="8"/>
  <c r="H299" i="8"/>
  <c r="H300" i="8"/>
  <c r="I300" i="8"/>
  <c r="H304" i="8"/>
  <c r="I304" i="8"/>
  <c r="G317" i="8"/>
  <c r="H317" i="8"/>
  <c r="H320" i="8"/>
  <c r="I320" i="8"/>
  <c r="H324" i="8"/>
  <c r="I324" i="8"/>
  <c r="D326" i="8"/>
  <c r="D322" i="8" s="1"/>
  <c r="D323" i="8" s="1"/>
  <c r="H334" i="8"/>
  <c r="I334" i="8"/>
  <c r="H338" i="8"/>
  <c r="I338" i="8"/>
  <c r="D340" i="8"/>
  <c r="D379" i="8"/>
  <c r="H343" i="8"/>
  <c r="I343" i="8"/>
  <c r="D344" i="8"/>
  <c r="J351" i="8"/>
  <c r="J363" i="8"/>
  <c r="D367" i="8"/>
  <c r="G381" i="8"/>
  <c r="I381" i="8" s="1"/>
  <c r="H381" i="8"/>
  <c r="D382" i="8"/>
  <c r="E382" i="8"/>
  <c r="F382" i="8"/>
  <c r="G383" i="8"/>
  <c r="I383" i="8" s="1"/>
  <c r="H383" i="8"/>
  <c r="I384" i="8"/>
  <c r="H388" i="8"/>
  <c r="I388" i="8"/>
  <c r="G389" i="8"/>
  <c r="G390" i="8" s="1"/>
  <c r="G386" i="8" s="1"/>
  <c r="H389" i="8"/>
  <c r="H390" i="8"/>
  <c r="D387" i="8"/>
  <c r="E387" i="8"/>
  <c r="F387" i="8"/>
  <c r="I392" i="8"/>
  <c r="H396" i="8"/>
  <c r="I396" i="8"/>
  <c r="D398" i="8"/>
  <c r="D394" i="8" s="1"/>
  <c r="D395" i="8" s="1"/>
  <c r="J412" i="8"/>
  <c r="H413" i="8"/>
  <c r="H416" i="8"/>
  <c r="H451" i="8"/>
  <c r="I451" i="8"/>
  <c r="G452" i="8"/>
  <c r="I452" i="8" s="1"/>
  <c r="H452" i="8"/>
  <c r="D453" i="8"/>
  <c r="E453" i="8"/>
  <c r="F453" i="8"/>
  <c r="G454" i="8"/>
  <c r="I454" i="8" s="1"/>
  <c r="H454" i="8"/>
  <c r="H479" i="8"/>
  <c r="I479" i="8"/>
  <c r="C15" i="9"/>
  <c r="G11" i="6"/>
  <c r="AG10" i="17" s="1"/>
  <c r="M11" i="6"/>
  <c r="O11" i="6"/>
  <c r="BM10" i="17" s="1"/>
  <c r="AM11" i="6"/>
  <c r="EW10" i="17" s="1"/>
  <c r="AW11" i="6"/>
  <c r="GK10" i="17" s="1"/>
  <c r="AY11" i="6"/>
  <c r="HA10" i="17" s="1"/>
  <c r="BQ11" i="6"/>
  <c r="BS11" i="6"/>
  <c r="BU11" i="6"/>
  <c r="BW11" i="6"/>
  <c r="BY11" i="6"/>
  <c r="CE11" i="6"/>
  <c r="G12" i="6"/>
  <c r="AG11" i="17" s="1"/>
  <c r="M12" i="6"/>
  <c r="O12" i="6"/>
  <c r="BM11" i="17" s="1"/>
  <c r="BN11" i="17" s="1"/>
  <c r="AW12" i="6"/>
  <c r="GK11" i="17" s="1"/>
  <c r="GL11" i="17" s="1"/>
  <c r="AY12" i="6"/>
  <c r="HA11" i="17" s="1"/>
  <c r="BQ12" i="6"/>
  <c r="BS12" i="6"/>
  <c r="BU12" i="6"/>
  <c r="BW12" i="6"/>
  <c r="BY12" i="6"/>
  <c r="CE12" i="6"/>
  <c r="G13" i="6"/>
  <c r="M13" i="6"/>
  <c r="O13" i="6"/>
  <c r="BM12" i="17" s="1"/>
  <c r="BN12" i="17" s="1"/>
  <c r="AM13" i="6"/>
  <c r="EW12" i="17" s="1"/>
  <c r="AW13" i="6"/>
  <c r="GK12" i="17" s="1"/>
  <c r="GL12" i="17" s="1"/>
  <c r="AY13" i="6"/>
  <c r="HA12" i="17" s="1"/>
  <c r="BQ13" i="6"/>
  <c r="BS13" i="6"/>
  <c r="BU13" i="6"/>
  <c r="BW13" i="6"/>
  <c r="BY13" i="6"/>
  <c r="CE13" i="6"/>
  <c r="G14" i="6"/>
  <c r="AG13" i="17" s="1"/>
  <c r="M14" i="6"/>
  <c r="O14" i="6"/>
  <c r="BM13" i="17" s="1"/>
  <c r="BN13" i="17" s="1"/>
  <c r="AM14" i="6"/>
  <c r="EW13" i="17" s="1"/>
  <c r="AW14" i="6"/>
  <c r="GK13" i="17" s="1"/>
  <c r="GL13" i="17" s="1"/>
  <c r="AY14" i="6"/>
  <c r="HA13" i="17" s="1"/>
  <c r="BQ14" i="6"/>
  <c r="BS14" i="6"/>
  <c r="BU14" i="6"/>
  <c r="BW14" i="6"/>
  <c r="BY14" i="6"/>
  <c r="CE14" i="6"/>
  <c r="G15" i="6"/>
  <c r="AG14" i="17" s="1"/>
  <c r="M15" i="6"/>
  <c r="O15" i="6"/>
  <c r="BM14" i="17" s="1"/>
  <c r="BN14" i="17" s="1"/>
  <c r="AM15" i="6"/>
  <c r="AW15" i="6"/>
  <c r="GK14" i="17" s="1"/>
  <c r="GL14" i="17" s="1"/>
  <c r="AY15" i="6"/>
  <c r="HA14" i="17" s="1"/>
  <c r="BQ15" i="6"/>
  <c r="BS15" i="6"/>
  <c r="BU15" i="6"/>
  <c r="BW15" i="6"/>
  <c r="BY15" i="6"/>
  <c r="CE15" i="6"/>
  <c r="G16" i="6"/>
  <c r="AG15" i="17" s="1"/>
  <c r="M16" i="6"/>
  <c r="O16" i="6"/>
  <c r="BM15" i="17" s="1"/>
  <c r="BN15" i="17" s="1"/>
  <c r="AW16" i="6"/>
  <c r="GK15" i="17" s="1"/>
  <c r="GL15" i="17" s="1"/>
  <c r="AY16" i="6"/>
  <c r="HA15" i="17" s="1"/>
  <c r="BQ16" i="6"/>
  <c r="BS16" i="6"/>
  <c r="BU16" i="6"/>
  <c r="BW16" i="6"/>
  <c r="BY16" i="6"/>
  <c r="CE16" i="6"/>
  <c r="G17" i="6"/>
  <c r="AG16" i="17" s="1"/>
  <c r="M17" i="6"/>
  <c r="O17" i="6"/>
  <c r="BM16" i="17" s="1"/>
  <c r="BN16" i="17" s="1"/>
  <c r="AM17" i="6"/>
  <c r="AW17" i="6"/>
  <c r="GK16" i="17" s="1"/>
  <c r="GL16" i="17" s="1"/>
  <c r="AY17" i="6"/>
  <c r="HA16" i="17" s="1"/>
  <c r="BQ17" i="6"/>
  <c r="BS17" i="6"/>
  <c r="BU17" i="6"/>
  <c r="BW17" i="6"/>
  <c r="BY17" i="6"/>
  <c r="CE17" i="6"/>
  <c r="G18" i="6"/>
  <c r="AG17" i="17" s="1"/>
  <c r="M18" i="6"/>
  <c r="O18" i="6"/>
  <c r="BM17" i="17" s="1"/>
  <c r="BN17" i="17" s="1"/>
  <c r="AW18" i="6"/>
  <c r="GK17" i="17" s="1"/>
  <c r="GL17" i="17" s="1"/>
  <c r="AY18" i="6"/>
  <c r="HA17" i="17" s="1"/>
  <c r="BQ18" i="6"/>
  <c r="BS18" i="6"/>
  <c r="BU18" i="6"/>
  <c r="BW18" i="6"/>
  <c r="BY18" i="6"/>
  <c r="CE18" i="6"/>
  <c r="G19" i="6"/>
  <c r="AG18" i="17" s="1"/>
  <c r="M19" i="6"/>
  <c r="O19" i="6"/>
  <c r="BM18" i="17" s="1"/>
  <c r="BN18" i="17" s="1"/>
  <c r="AW19" i="6"/>
  <c r="GK18" i="17" s="1"/>
  <c r="GL18" i="17" s="1"/>
  <c r="AY19" i="6"/>
  <c r="HA18" i="17" s="1"/>
  <c r="BQ19" i="6"/>
  <c r="BS19" i="6"/>
  <c r="BU19" i="6"/>
  <c r="BW19" i="6"/>
  <c r="BY19" i="6"/>
  <c r="CE19" i="6"/>
  <c r="G20" i="6"/>
  <c r="AG19" i="17" s="1"/>
  <c r="M20" i="6"/>
  <c r="O20" i="6"/>
  <c r="BM19" i="17" s="1"/>
  <c r="BN19" i="17" s="1"/>
  <c r="AM20" i="6"/>
  <c r="AW20" i="6"/>
  <c r="GK19" i="17" s="1"/>
  <c r="GL19" i="17" s="1"/>
  <c r="AY20" i="6"/>
  <c r="HA19" i="17" s="1"/>
  <c r="BQ20" i="6"/>
  <c r="BS20" i="6"/>
  <c r="BU20" i="6"/>
  <c r="BW20" i="6"/>
  <c r="BY20" i="6"/>
  <c r="CE20" i="6"/>
  <c r="G21" i="6"/>
  <c r="M21" i="6"/>
  <c r="O21" i="6"/>
  <c r="BM20" i="17" s="1"/>
  <c r="BN20" i="17" s="1"/>
  <c r="AM21" i="6"/>
  <c r="AW21" i="6"/>
  <c r="GK20" i="17" s="1"/>
  <c r="GL20" i="17" s="1"/>
  <c r="AY21" i="6"/>
  <c r="HA20" i="17" s="1"/>
  <c r="BQ21" i="6"/>
  <c r="BS21" i="6"/>
  <c r="BU21" i="6"/>
  <c r="BW21" i="6"/>
  <c r="BY21" i="6"/>
  <c r="CE21" i="6"/>
  <c r="G22" i="6"/>
  <c r="AG21" i="17" s="1"/>
  <c r="M22" i="6"/>
  <c r="O22" i="6"/>
  <c r="BM21" i="17" s="1"/>
  <c r="BN21" i="17" s="1"/>
  <c r="AM22" i="6"/>
  <c r="AW22" i="6"/>
  <c r="GK21" i="17" s="1"/>
  <c r="GL21" i="17" s="1"/>
  <c r="AY22" i="6"/>
  <c r="HA21" i="17" s="1"/>
  <c r="BQ22" i="6"/>
  <c r="BS22" i="6"/>
  <c r="BU22" i="6"/>
  <c r="BW22" i="6"/>
  <c r="BY22" i="6"/>
  <c r="CE22" i="6"/>
  <c r="G23" i="6"/>
  <c r="AG22" i="17" s="1"/>
  <c r="M23" i="6"/>
  <c r="O23" i="6"/>
  <c r="BM22" i="17" s="1"/>
  <c r="BN22" i="17" s="1"/>
  <c r="AM23" i="6"/>
  <c r="AW23" i="6"/>
  <c r="GK22" i="17" s="1"/>
  <c r="GL22" i="17" s="1"/>
  <c r="AY23" i="6"/>
  <c r="HA22" i="17" s="1"/>
  <c r="BQ23" i="6"/>
  <c r="BS23" i="6"/>
  <c r="BU23" i="6"/>
  <c r="BW23" i="6"/>
  <c r="BY23" i="6"/>
  <c r="CE23" i="6"/>
  <c r="G24" i="6"/>
  <c r="AG23" i="17" s="1"/>
  <c r="M24" i="6"/>
  <c r="O24" i="6"/>
  <c r="BM23" i="17" s="1"/>
  <c r="BN23" i="17" s="1"/>
  <c r="AM24" i="6"/>
  <c r="AW24" i="6"/>
  <c r="GK23" i="17" s="1"/>
  <c r="GL23" i="17" s="1"/>
  <c r="AY24" i="6"/>
  <c r="HA23" i="17" s="1"/>
  <c r="BQ24" i="6"/>
  <c r="BS24" i="6"/>
  <c r="BU24" i="6"/>
  <c r="BW24" i="6"/>
  <c r="BY24" i="6"/>
  <c r="CE24" i="6"/>
  <c r="G25" i="6"/>
  <c r="AG24" i="17" s="1"/>
  <c r="M25" i="6"/>
  <c r="O25" i="6"/>
  <c r="BM24" i="17" s="1"/>
  <c r="BN24" i="17" s="1"/>
  <c r="AM25" i="6"/>
  <c r="EW24" i="17" s="1"/>
  <c r="AW25" i="6"/>
  <c r="GK24" i="17" s="1"/>
  <c r="GL24" i="17" s="1"/>
  <c r="AY25" i="6"/>
  <c r="HA24" i="17" s="1"/>
  <c r="BQ25" i="6"/>
  <c r="BS25" i="6"/>
  <c r="BU25" i="6"/>
  <c r="BW25" i="6"/>
  <c r="BY25" i="6"/>
  <c r="CE25" i="6"/>
  <c r="G26" i="6"/>
  <c r="AG25" i="17" s="1"/>
  <c r="M26" i="6"/>
  <c r="O26" i="6"/>
  <c r="BM25" i="17" s="1"/>
  <c r="BN25" i="17" s="1"/>
  <c r="AW26" i="6"/>
  <c r="GK25" i="17" s="1"/>
  <c r="GL25" i="17" s="1"/>
  <c r="AY26" i="6"/>
  <c r="HA25" i="17" s="1"/>
  <c r="BQ26" i="6"/>
  <c r="BS26" i="6"/>
  <c r="BU26" i="6"/>
  <c r="BW26" i="6"/>
  <c r="BY26" i="6"/>
  <c r="CE26" i="6"/>
  <c r="G27" i="6"/>
  <c r="AG26" i="17" s="1"/>
  <c r="M27" i="6"/>
  <c r="O27" i="6"/>
  <c r="BM26" i="17" s="1"/>
  <c r="BN26" i="17" s="1"/>
  <c r="AM27" i="6"/>
  <c r="AW27" i="6"/>
  <c r="GK26" i="17" s="1"/>
  <c r="GL26" i="17" s="1"/>
  <c r="AY27" i="6"/>
  <c r="HA26" i="17" s="1"/>
  <c r="BQ27" i="6"/>
  <c r="BS27" i="6"/>
  <c r="BU27" i="6"/>
  <c r="BW27" i="6"/>
  <c r="BY27" i="6"/>
  <c r="CE27" i="6"/>
  <c r="G28" i="6"/>
  <c r="AG27" i="17" s="1"/>
  <c r="M28" i="6"/>
  <c r="O28" i="6"/>
  <c r="BM27" i="17" s="1"/>
  <c r="BN27" i="17" s="1"/>
  <c r="AM28" i="6"/>
  <c r="AW28" i="6"/>
  <c r="GK27" i="17" s="1"/>
  <c r="GL27" i="17" s="1"/>
  <c r="AY28" i="6"/>
  <c r="HA27" i="17" s="1"/>
  <c r="BQ28" i="6"/>
  <c r="BS28" i="6"/>
  <c r="BU28" i="6"/>
  <c r="BW28" i="6"/>
  <c r="BY28" i="6"/>
  <c r="CE28" i="6"/>
  <c r="G31" i="6"/>
  <c r="AG30" i="17" s="1"/>
  <c r="M31" i="6"/>
  <c r="O31" i="6"/>
  <c r="BM30" i="17" s="1"/>
  <c r="AM31" i="6"/>
  <c r="EW30" i="17" s="1"/>
  <c r="AW31" i="6"/>
  <c r="GK30" i="17" s="1"/>
  <c r="AY31" i="6"/>
  <c r="BQ31" i="6"/>
  <c r="BS31" i="6"/>
  <c r="BU31" i="6"/>
  <c r="BW31" i="6"/>
  <c r="BY31" i="6"/>
  <c r="CE31" i="6"/>
  <c r="G32" i="6"/>
  <c r="M32" i="6"/>
  <c r="O32" i="6"/>
  <c r="BM31" i="17" s="1"/>
  <c r="BN31" i="17" s="1"/>
  <c r="AM32" i="6"/>
  <c r="EW31" i="17" s="1"/>
  <c r="EX31" i="17" s="1"/>
  <c r="AW32" i="6"/>
  <c r="GK31" i="17" s="1"/>
  <c r="GL31" i="17" s="1"/>
  <c r="AY32" i="6"/>
  <c r="HA31" i="17" s="1"/>
  <c r="HB31" i="17" s="1"/>
  <c r="BQ32" i="6"/>
  <c r="BS32" i="6"/>
  <c r="BU32" i="6"/>
  <c r="BW32" i="6"/>
  <c r="BY32" i="6"/>
  <c r="CE32" i="6"/>
  <c r="AU11" i="1"/>
  <c r="BE11" i="1"/>
  <c r="AU12" i="1"/>
  <c r="BE12" i="1"/>
  <c r="AU13" i="1"/>
  <c r="BE13" i="1"/>
  <c r="AU14" i="1"/>
  <c r="BE14" i="1"/>
  <c r="AU15" i="1"/>
  <c r="BE15" i="1"/>
  <c r="AU16" i="1"/>
  <c r="BE16" i="1"/>
  <c r="AU17" i="1"/>
  <c r="BE17" i="1"/>
  <c r="AU18" i="1"/>
  <c r="BE18" i="1"/>
  <c r="AU19" i="1"/>
  <c r="BE19" i="1"/>
  <c r="AU20" i="1"/>
  <c r="BE20" i="1"/>
  <c r="AU21" i="1"/>
  <c r="BE21" i="1"/>
  <c r="AU22" i="1"/>
  <c r="BE22" i="1"/>
  <c r="AU23" i="1"/>
  <c r="BE23" i="1"/>
  <c r="AU24" i="1"/>
  <c r="BE24" i="1"/>
  <c r="AU25" i="1"/>
  <c r="BE25" i="1"/>
  <c r="AU26" i="1"/>
  <c r="BE26" i="1"/>
  <c r="AU27" i="1"/>
  <c r="BE27" i="1"/>
  <c r="AU28" i="1"/>
  <c r="BE28" i="1"/>
  <c r="AC29" i="1"/>
  <c r="BG29" i="1"/>
  <c r="N33" i="1"/>
  <c r="O33" i="1"/>
  <c r="P33" i="1"/>
  <c r="Q33" i="1"/>
  <c r="R33" i="1"/>
  <c r="S33" i="1"/>
  <c r="T33" i="1"/>
  <c r="U33" i="1"/>
  <c r="V33" i="1"/>
  <c r="W33" i="1"/>
  <c r="X33" i="1"/>
  <c r="Y33" i="1"/>
  <c r="Z33" i="1"/>
  <c r="AA33" i="1"/>
  <c r="AB33" i="1"/>
  <c r="AC33" i="1"/>
  <c r="AD33" i="1"/>
  <c r="AE33" i="1"/>
  <c r="AR33" i="1"/>
  <c r="AS33" i="1"/>
  <c r="AT33" i="1"/>
  <c r="AU33" i="1"/>
  <c r="AV33" i="1"/>
  <c r="AW33" i="1"/>
  <c r="AX33" i="1"/>
  <c r="AY33" i="1"/>
  <c r="AZ33" i="1"/>
  <c r="BA33" i="1"/>
  <c r="BB33" i="1"/>
  <c r="BC33" i="1"/>
  <c r="BD33" i="1"/>
  <c r="BE33" i="1"/>
  <c r="BF33" i="1"/>
  <c r="BG33" i="1"/>
  <c r="BH33" i="1"/>
  <c r="BI33" i="1"/>
  <c r="J31" i="5"/>
  <c r="AF31" i="5"/>
  <c r="F28" i="5"/>
  <c r="N31" i="5"/>
  <c r="T28" i="5"/>
  <c r="AB31" i="5"/>
  <c r="AJ28" i="5"/>
  <c r="J32" i="5"/>
  <c r="R32" i="5"/>
  <c r="Z32" i="5"/>
  <c r="AF32" i="5"/>
  <c r="F32" i="5"/>
  <c r="N32" i="5"/>
  <c r="T32" i="5"/>
  <c r="G28" i="5"/>
  <c r="I28" i="5"/>
  <c r="K28" i="5"/>
  <c r="M28" i="5"/>
  <c r="O28" i="5"/>
  <c r="Q28" i="5"/>
  <c r="S28" i="5"/>
  <c r="U28" i="5"/>
  <c r="Y28" i="5"/>
  <c r="AA28" i="5"/>
  <c r="AC28" i="5"/>
  <c r="AE28" i="5"/>
  <c r="AG28" i="5"/>
  <c r="AI28" i="5"/>
  <c r="AK28" i="5"/>
  <c r="AM28" i="5"/>
  <c r="G31" i="5"/>
  <c r="I31" i="5"/>
  <c r="K31" i="5"/>
  <c r="M31" i="5"/>
  <c r="O31" i="5"/>
  <c r="Q31" i="5"/>
  <c r="S31" i="5"/>
  <c r="U31" i="5"/>
  <c r="W31" i="5"/>
  <c r="Y31" i="5"/>
  <c r="AA31" i="5"/>
  <c r="AC31" i="5"/>
  <c r="AE31" i="5"/>
  <c r="AG31" i="5"/>
  <c r="AI31" i="5"/>
  <c r="AK31" i="5"/>
  <c r="AM31" i="5"/>
  <c r="G32" i="5"/>
  <c r="I32" i="5"/>
  <c r="K32" i="5"/>
  <c r="M32" i="5"/>
  <c r="O32" i="5"/>
  <c r="Q32" i="5"/>
  <c r="S32" i="5"/>
  <c r="U32" i="5"/>
  <c r="W32" i="5"/>
  <c r="Y32" i="5"/>
  <c r="AA32" i="5"/>
  <c r="AC32" i="5"/>
  <c r="AE32" i="5"/>
  <c r="AG32" i="5"/>
  <c r="AI32" i="5"/>
  <c r="AK32" i="5"/>
  <c r="AM32" i="5"/>
  <c r="K8" i="4"/>
  <c r="E8" i="4" s="1"/>
  <c r="J8" i="4"/>
  <c r="W26" i="4"/>
  <c r="U26" i="4"/>
  <c r="C45" i="3" s="1"/>
  <c r="Y26" i="4"/>
  <c r="AG26" i="4"/>
  <c r="AA36" i="3" s="1"/>
  <c r="AI26" i="4"/>
  <c r="AK26" i="4"/>
  <c r="AI36" i="3"/>
  <c r="AY26" i="4"/>
  <c r="BA26" i="4"/>
  <c r="J26" i="3"/>
  <c r="V26" i="3"/>
  <c r="D26" i="3"/>
  <c r="N26" i="3"/>
  <c r="I26" i="3"/>
  <c r="I43" i="3" s="1"/>
  <c r="C43" i="3" s="1"/>
  <c r="K26" i="3"/>
  <c r="O26" i="3"/>
  <c r="Q26" i="3"/>
  <c r="U26" i="3"/>
  <c r="W26" i="3"/>
  <c r="AA26" i="3"/>
  <c r="AE26" i="3"/>
  <c r="AI26" i="3"/>
  <c r="AO26" i="3"/>
  <c r="D30" i="3"/>
  <c r="E30" i="3"/>
  <c r="I30" i="3"/>
  <c r="I44" i="3" s="1"/>
  <c r="C44" i="3" s="1"/>
  <c r="K30" i="3"/>
  <c r="O30" i="3"/>
  <c r="Q30" i="3"/>
  <c r="U30" i="3"/>
  <c r="W30" i="3"/>
  <c r="AA30" i="3"/>
  <c r="AE30" i="3"/>
  <c r="AI30" i="3"/>
  <c r="AO30" i="3"/>
  <c r="AL11" i="6"/>
  <c r="ES10" i="17" s="1"/>
  <c r="N11" i="6"/>
  <c r="BI10" i="17" s="1"/>
  <c r="AX11" i="6"/>
  <c r="GW10" i="17" s="1"/>
  <c r="Q12" i="1"/>
  <c r="BX12" i="6"/>
  <c r="N13" i="6"/>
  <c r="BI12" i="17" s="1"/>
  <c r="BJ12" i="17" s="1"/>
  <c r="AV13" i="6"/>
  <c r="GG12" i="17" s="1"/>
  <c r="GH12" i="17" s="1"/>
  <c r="BR13" i="6"/>
  <c r="BT13" i="6"/>
  <c r="CD13" i="6"/>
  <c r="N14" i="6"/>
  <c r="BI13" i="17" s="1"/>
  <c r="BJ13" i="17" s="1"/>
  <c r="BR14" i="6"/>
  <c r="CD14" i="6"/>
  <c r="N15" i="6"/>
  <c r="BI14" i="17" s="1"/>
  <c r="BJ14" i="17" s="1"/>
  <c r="AV15" i="6"/>
  <c r="GG14" i="17" s="1"/>
  <c r="GH14" i="17" s="1"/>
  <c r="AL17" i="6"/>
  <c r="ES16" i="17" s="1"/>
  <c r="N17" i="6"/>
  <c r="BI16" i="17" s="1"/>
  <c r="BJ16" i="17" s="1"/>
  <c r="AV17" i="6"/>
  <c r="GG16" i="17" s="1"/>
  <c r="GH16" i="17" s="1"/>
  <c r="BV17" i="6"/>
  <c r="N18" i="6"/>
  <c r="BI17" i="17" s="1"/>
  <c r="BJ17" i="17" s="1"/>
  <c r="AV18" i="6"/>
  <c r="GG17" i="17" s="1"/>
  <c r="GH17" i="17" s="1"/>
  <c r="BT18" i="6"/>
  <c r="CD18" i="6"/>
  <c r="BP19" i="6"/>
  <c r="BR19" i="6"/>
  <c r="BX19" i="6"/>
  <c r="N20" i="6"/>
  <c r="BI19" i="17" s="1"/>
  <c r="BJ19" i="17" s="1"/>
  <c r="AV20" i="6"/>
  <c r="GG19" i="17" s="1"/>
  <c r="GH19" i="17" s="1"/>
  <c r="Q20" i="1"/>
  <c r="BV20" i="6"/>
  <c r="N21" i="6"/>
  <c r="BI20" i="17" s="1"/>
  <c r="BJ20" i="17" s="1"/>
  <c r="AV21" i="6"/>
  <c r="GG20" i="17" s="1"/>
  <c r="GH20" i="17" s="1"/>
  <c r="BT21" i="6"/>
  <c r="N22" i="6"/>
  <c r="BI21" i="17" s="1"/>
  <c r="BJ21" i="17" s="1"/>
  <c r="Q22" i="1"/>
  <c r="BV22" i="6"/>
  <c r="BX22" i="6"/>
  <c r="AV23" i="6"/>
  <c r="GG22" i="17" s="1"/>
  <c r="GH22" i="17" s="1"/>
  <c r="Q23" i="1"/>
  <c r="BV23" i="6"/>
  <c r="CD23" i="6"/>
  <c r="N24" i="6"/>
  <c r="BI23" i="17" s="1"/>
  <c r="BJ23" i="17" s="1"/>
  <c r="AV24" i="6"/>
  <c r="GG23" i="17" s="1"/>
  <c r="GH23" i="17" s="1"/>
  <c r="BT24" i="6"/>
  <c r="N25" i="6"/>
  <c r="BI24" i="17" s="1"/>
  <c r="BJ24" i="17" s="1"/>
  <c r="AV25" i="6"/>
  <c r="GG24" i="17" s="1"/>
  <c r="GH24" i="17" s="1"/>
  <c r="BT25" i="6"/>
  <c r="BV25" i="6"/>
  <c r="N26" i="6"/>
  <c r="BI25" i="17" s="1"/>
  <c r="BJ25" i="17" s="1"/>
  <c r="Q26" i="1"/>
  <c r="BV26" i="6"/>
  <c r="BX26" i="6"/>
  <c r="CD26" i="6"/>
  <c r="N27" i="6"/>
  <c r="BI26" i="17" s="1"/>
  <c r="BJ26" i="17" s="1"/>
  <c r="BT27" i="6"/>
  <c r="CD27" i="6"/>
  <c r="N28" i="6"/>
  <c r="BI27" i="17" s="1"/>
  <c r="BJ27" i="17" s="1"/>
  <c r="BV28" i="6"/>
  <c r="CD28" i="6"/>
  <c r="N31" i="6"/>
  <c r="BI30" i="17" s="1"/>
  <c r="BX31" i="6"/>
  <c r="CD31" i="6"/>
  <c r="N32" i="6"/>
  <c r="BI31" i="17" s="1"/>
  <c r="BJ31" i="17" s="1"/>
  <c r="AV32" i="6"/>
  <c r="GG31" i="17" s="1"/>
  <c r="GH31" i="17" s="1"/>
  <c r="BR32" i="6"/>
  <c r="CD32" i="6"/>
  <c r="A3" i="9"/>
  <c r="K12" i="2"/>
  <c r="S12" i="2"/>
  <c r="W12" i="2"/>
  <c r="AB12" i="2"/>
  <c r="AS11" i="1" s="1"/>
  <c r="BJ12" i="2"/>
  <c r="BK12" i="2"/>
  <c r="BK30" i="2" s="1"/>
  <c r="BL12" i="2"/>
  <c r="BL30" i="2" s="1"/>
  <c r="BH12" i="2"/>
  <c r="CX12" i="2"/>
  <c r="AI10" i="17" s="1"/>
  <c r="S10" i="17" s="1"/>
  <c r="DF30" i="2"/>
  <c r="L11" i="6"/>
  <c r="HN12" i="2"/>
  <c r="AS12" i="1"/>
  <c r="L12" i="6"/>
  <c r="L13" i="6"/>
  <c r="AS14" i="1"/>
  <c r="L14" i="6"/>
  <c r="AS15" i="1"/>
  <c r="AS16" i="1"/>
  <c r="F16" i="6"/>
  <c r="AC15" i="17" s="1"/>
  <c r="L16" i="6"/>
  <c r="AS17" i="1"/>
  <c r="L17" i="6"/>
  <c r="AS18" i="1"/>
  <c r="AS19" i="1"/>
  <c r="L19" i="6"/>
  <c r="F20" i="6"/>
  <c r="AC19" i="17" s="1"/>
  <c r="L20" i="6"/>
  <c r="AS21" i="1"/>
  <c r="L22" i="6"/>
  <c r="L23" i="6"/>
  <c r="F24" i="6"/>
  <c r="AC23" i="17" s="1"/>
  <c r="L24" i="6"/>
  <c r="AS25" i="1"/>
  <c r="L26" i="6"/>
  <c r="L27" i="6"/>
  <c r="AS28" i="1"/>
  <c r="F28" i="6"/>
  <c r="AC27" i="17" s="1"/>
  <c r="G30" i="2"/>
  <c r="H67" i="1" s="1"/>
  <c r="I30" i="2"/>
  <c r="M30" i="2"/>
  <c r="H68" i="1"/>
  <c r="Q30" i="2"/>
  <c r="U30" i="2"/>
  <c r="J68" i="1" s="1"/>
  <c r="X30" i="2"/>
  <c r="Y30" i="2"/>
  <c r="Z30" i="2"/>
  <c r="AC30" i="2"/>
  <c r="AD30" i="2"/>
  <c r="AH30" i="2"/>
  <c r="AR30" i="2"/>
  <c r="AR54" i="2" s="1"/>
  <c r="AS30" i="2"/>
  <c r="NY30" i="2"/>
  <c r="NZ30" i="2"/>
  <c r="AU30" i="2"/>
  <c r="AU54" i="2" s="1"/>
  <c r="BB30" i="2"/>
  <c r="BC30" i="2"/>
  <c r="BD30" i="2"/>
  <c r="BR30" i="2"/>
  <c r="BS30" i="2"/>
  <c r="BT30" i="2"/>
  <c r="CA30" i="2"/>
  <c r="BZ54" i="2" s="1"/>
  <c r="CB30" i="2"/>
  <c r="CK30" i="2"/>
  <c r="CL30" i="2"/>
  <c r="CT30" i="2"/>
  <c r="CT54" i="2" s="1"/>
  <c r="CV30" i="2"/>
  <c r="CZ30" i="2"/>
  <c r="DB30" i="2"/>
  <c r="DB54" i="2" s="1"/>
  <c r="DD30" i="2"/>
  <c r="DH30" i="2"/>
  <c r="EB30" i="2"/>
  <c r="EC30" i="2"/>
  <c r="ED30" i="2"/>
  <c r="HO30" i="2"/>
  <c r="HP30" i="2"/>
  <c r="K34" i="2"/>
  <c r="W32" i="2"/>
  <c r="AA34" i="2"/>
  <c r="NR34" i="2"/>
  <c r="CU34" i="2"/>
  <c r="CX34" i="2"/>
  <c r="DF34" i="2"/>
  <c r="DV34" i="2"/>
  <c r="DW34" i="2"/>
  <c r="L34" i="2"/>
  <c r="S33" i="2"/>
  <c r="S34" i="2" s="1"/>
  <c r="W33" i="2"/>
  <c r="BJ34" i="2"/>
  <c r="CO34" i="2"/>
  <c r="G34" i="2"/>
  <c r="E67" i="1" s="1"/>
  <c r="I34" i="2"/>
  <c r="M34" i="2"/>
  <c r="O34" i="2"/>
  <c r="E68" i="1" s="1"/>
  <c r="Q34" i="2"/>
  <c r="U34" i="2"/>
  <c r="X34" i="2"/>
  <c r="Y34" i="2"/>
  <c r="Z34" i="2"/>
  <c r="AC34" i="2"/>
  <c r="AD34" i="2"/>
  <c r="AH34" i="2"/>
  <c r="AR34" i="2"/>
  <c r="AR55" i="2" s="1"/>
  <c r="AS34" i="2"/>
  <c r="NY34" i="2"/>
  <c r="NZ34" i="2"/>
  <c r="AU34" i="2"/>
  <c r="AU55" i="2" s="1"/>
  <c r="AX34" i="2"/>
  <c r="AY34" i="2"/>
  <c r="BB34" i="2"/>
  <c r="BC34" i="2"/>
  <c r="BD34" i="2"/>
  <c r="BF34" i="2"/>
  <c r="BG34" i="2"/>
  <c r="BH34" i="2"/>
  <c r="BK34" i="2"/>
  <c r="BL34" i="2"/>
  <c r="BN34" i="2"/>
  <c r="BO34" i="2"/>
  <c r="BP34" i="2"/>
  <c r="BR34" i="2"/>
  <c r="BS34" i="2"/>
  <c r="BT34" i="2"/>
  <c r="CA34" i="2"/>
  <c r="BZ55" i="2" s="1"/>
  <c r="CB34" i="2"/>
  <c r="CF34" i="2"/>
  <c r="CG34" i="2"/>
  <c r="CK34" i="2"/>
  <c r="CL34" i="2"/>
  <c r="CQ34" i="2"/>
  <c r="CR34" i="2"/>
  <c r="CT34" i="2"/>
  <c r="CT55" i="2" s="1"/>
  <c r="CV34" i="2"/>
  <c r="CZ34" i="2"/>
  <c r="DB34" i="2"/>
  <c r="DD34" i="2"/>
  <c r="DH34" i="2"/>
  <c r="EB34" i="2"/>
  <c r="EC34" i="2"/>
  <c r="ED34" i="2"/>
  <c r="HN34" i="2"/>
  <c r="HN55" i="2" s="1"/>
  <c r="HO34" i="2"/>
  <c r="HP34" i="2"/>
  <c r="BP28" i="6"/>
  <c r="Q28" i="1"/>
  <c r="E3" i="1"/>
  <c r="F3" i="6" s="1"/>
  <c r="A3" i="7" s="1"/>
  <c r="Q21" i="1"/>
  <c r="Q17" i="1"/>
  <c r="BP17" i="6"/>
  <c r="BP18" i="6"/>
  <c r="BP15" i="6"/>
  <c r="Q13" i="1"/>
  <c r="H386" i="8"/>
  <c r="H318" i="8"/>
  <c r="D364" i="8"/>
  <c r="J357" i="8"/>
  <c r="J358" i="8" s="1"/>
  <c r="D358" i="8"/>
  <c r="D355" i="8"/>
  <c r="J285" i="8"/>
  <c r="AX16" i="6"/>
  <c r="GW15" i="17" s="1"/>
  <c r="CD20" i="6"/>
  <c r="AX14" i="6"/>
  <c r="GW13" i="17" s="1"/>
  <c r="CQ12" i="2"/>
  <c r="AB11" i="1" s="1"/>
  <c r="BR17" i="6"/>
  <c r="N23" i="6"/>
  <c r="BI22" i="17" s="1"/>
  <c r="BJ22" i="17" s="1"/>
  <c r="CD15" i="6"/>
  <c r="H26" i="3"/>
  <c r="H43" i="3" s="1"/>
  <c r="B43" i="3" s="1"/>
  <c r="Z28" i="5"/>
  <c r="T31" i="5"/>
  <c r="L32" i="6"/>
  <c r="BT23" i="6"/>
  <c r="BR26" i="6"/>
  <c r="AV14" i="6"/>
  <c r="GG13" i="17" s="1"/>
  <c r="GH13" i="17" s="1"/>
  <c r="BR27" i="6"/>
  <c r="AV19" i="6"/>
  <c r="GG18" i="17" s="1"/>
  <c r="GH18" i="17" s="1"/>
  <c r="CD12" i="6"/>
  <c r="CD11" i="6"/>
  <c r="AX15" i="6"/>
  <c r="GW14" i="17" s="1"/>
  <c r="L28" i="6"/>
  <c r="BR31" i="6"/>
  <c r="BR22" i="6"/>
  <c r="BV18" i="6"/>
  <c r="DG34" i="2"/>
  <c r="L18" i="6"/>
  <c r="AV22" i="6"/>
  <c r="GG21" i="17" s="1"/>
  <c r="GH21" i="17" s="1"/>
  <c r="BP14" i="6"/>
  <c r="Q14" i="1"/>
  <c r="AB28" i="5"/>
  <c r="P26" i="3"/>
  <c r="Z31" i="5"/>
  <c r="AX19" i="6"/>
  <c r="GW18" i="17" s="1"/>
  <c r="AV16" i="6"/>
  <c r="GG15" i="17" s="1"/>
  <c r="GH15" i="17" s="1"/>
  <c r="AJ24" i="1"/>
  <c r="AJ25" i="1"/>
  <c r="AJ18" i="1"/>
  <c r="AX18" i="6"/>
  <c r="GW17" i="17" s="1"/>
  <c r="Q16" i="1"/>
  <c r="BP16" i="6"/>
  <c r="AJ11" i="1"/>
  <c r="AV11" i="6"/>
  <c r="GG10" i="17" s="1"/>
  <c r="BR28" i="6"/>
  <c r="BP23" i="6"/>
  <c r="BP22" i="6"/>
  <c r="Q19" i="1"/>
  <c r="N19" i="6"/>
  <c r="BI18" i="17" s="1"/>
  <c r="BJ18" i="17" s="1"/>
  <c r="AL27" i="6"/>
  <c r="ES26" i="17" s="1"/>
  <c r="AX26" i="6"/>
  <c r="GW25" i="17" s="1"/>
  <c r="Q24" i="1"/>
  <c r="BP24" i="6"/>
  <c r="CD21" i="6"/>
  <c r="CD19" i="6"/>
  <c r="N12" i="6"/>
  <c r="BI11" i="17" s="1"/>
  <c r="BJ11" i="17" s="1"/>
  <c r="AJ31" i="1"/>
  <c r="DR34" i="2"/>
  <c r="F22" i="6"/>
  <c r="AC21" i="17" s="1"/>
  <c r="F11" i="6"/>
  <c r="AC10" i="17" s="1"/>
  <c r="F25" i="6"/>
  <c r="AC24" i="17" s="1"/>
  <c r="AN30" i="3"/>
  <c r="AD30" i="3"/>
  <c r="J30" i="3"/>
  <c r="AH28" i="5"/>
  <c r="AJ32" i="5"/>
  <c r="N28" i="5"/>
  <c r="AV27" i="6"/>
  <c r="GG26" i="17" s="1"/>
  <c r="GH26" i="17" s="1"/>
  <c r="BP26" i="6"/>
  <c r="AV26" i="6"/>
  <c r="GG25" i="17" s="1"/>
  <c r="GH25" i="17" s="1"/>
  <c r="Q25" i="1"/>
  <c r="AX22" i="6"/>
  <c r="GW21" i="17" s="1"/>
  <c r="BT17" i="6"/>
  <c r="Q11" i="1"/>
  <c r="BX25" i="6"/>
  <c r="BP25" i="6"/>
  <c r="AV28" i="6"/>
  <c r="GG27" i="17" s="1"/>
  <c r="GH27" i="17" s="1"/>
  <c r="Q27" i="1"/>
  <c r="BP27" i="6"/>
  <c r="CD16" i="6"/>
  <c r="AG34" i="2"/>
  <c r="BP32" i="6"/>
  <c r="BT22" i="6"/>
  <c r="N30" i="3"/>
  <c r="BX32" i="6"/>
  <c r="BV31" i="6"/>
  <c r="BX27" i="6"/>
  <c r="BR24" i="6"/>
  <c r="BX23" i="6"/>
  <c r="BX21" i="6"/>
  <c r="BT19" i="6"/>
  <c r="BR16" i="6"/>
  <c r="BX15" i="6"/>
  <c r="BX14" i="6"/>
  <c r="BX13" i="6"/>
  <c r="BP13" i="6"/>
  <c r="BT12" i="6"/>
  <c r="BX11" i="6"/>
  <c r="BP11" i="6"/>
  <c r="AM34" i="2"/>
  <c r="BR25" i="6"/>
  <c r="BX20" i="6"/>
  <c r="BR20" i="6"/>
  <c r="BV19" i="6"/>
  <c r="BX18" i="6"/>
  <c r="Q18" i="1"/>
  <c r="BX17" i="6"/>
  <c r="Q15" i="1"/>
  <c r="BV12" i="6"/>
  <c r="BR11" i="6"/>
  <c r="BF12" i="2"/>
  <c r="BR23" i="6"/>
  <c r="BT15" i="6"/>
  <c r="BX28" i="6"/>
  <c r="BT26" i="6"/>
  <c r="BV24" i="6"/>
  <c r="BR18" i="6"/>
  <c r="BV16" i="6"/>
  <c r="BT14" i="6"/>
  <c r="BT11" i="6"/>
  <c r="F26" i="6"/>
  <c r="AC25" i="17" s="1"/>
  <c r="BV32" i="6"/>
  <c r="BV27" i="6"/>
  <c r="BX24" i="6"/>
  <c r="BV21" i="6"/>
  <c r="BP21" i="6"/>
  <c r="BX16" i="6"/>
  <c r="BV14" i="6"/>
  <c r="BV11" i="6"/>
  <c r="BV15" i="6"/>
  <c r="V30" i="3"/>
  <c r="F18" i="6"/>
  <c r="AC17" i="17" s="1"/>
  <c r="CF30" i="2"/>
  <c r="L25" i="6"/>
  <c r="P30" i="3"/>
  <c r="L21" i="6"/>
  <c r="AL34" i="2"/>
  <c r="AL55" i="2" s="1"/>
  <c r="F19" i="6"/>
  <c r="AC18" i="17" s="1"/>
  <c r="P31" i="5"/>
  <c r="D223" i="8" l="1"/>
  <c r="D336" i="8"/>
  <c r="D337" i="8" s="1"/>
  <c r="D249" i="8"/>
  <c r="D250" i="8" s="1"/>
  <c r="G224" i="8"/>
  <c r="D503" i="8"/>
  <c r="D9" i="8"/>
  <c r="D77" i="8"/>
  <c r="D78" i="8" s="1"/>
  <c r="E32" i="6"/>
  <c r="E28" i="6"/>
  <c r="E15" i="6"/>
  <c r="E13" i="6"/>
  <c r="E14" i="6"/>
  <c r="E17" i="6"/>
  <c r="E25" i="6"/>
  <c r="E24" i="6"/>
  <c r="E23" i="6"/>
  <c r="E22" i="6"/>
  <c r="E21" i="6"/>
  <c r="E20" i="6"/>
  <c r="E11" i="6"/>
  <c r="E31" i="6"/>
  <c r="AJ12" i="2"/>
  <c r="EW20" i="17"/>
  <c r="HA30" i="17"/>
  <c r="HB30" i="17" s="1"/>
  <c r="HB32" i="17" s="1"/>
  <c r="HB35" i="17" s="1"/>
  <c r="EW27" i="17"/>
  <c r="EW26" i="17"/>
  <c r="EW22" i="17"/>
  <c r="EW21" i="17"/>
  <c r="EW19" i="17"/>
  <c r="AG31" i="17"/>
  <c r="AG20" i="17"/>
  <c r="AG12" i="17"/>
  <c r="EW14" i="17"/>
  <c r="EW16" i="17"/>
  <c r="EW23" i="17"/>
  <c r="C42" i="3"/>
  <c r="AA33" i="3"/>
  <c r="AA38" i="3" s="1"/>
  <c r="F455" i="8" s="1"/>
  <c r="F448" i="8" s="1"/>
  <c r="AO36" i="3"/>
  <c r="AI28" i="17"/>
  <c r="AI35" i="17" s="1"/>
  <c r="I115" i="8"/>
  <c r="BE31" i="17"/>
  <c r="BF31" i="17" s="1"/>
  <c r="BE25" i="17"/>
  <c r="BF25" i="17" s="1"/>
  <c r="BE21" i="17"/>
  <c r="BF21" i="17" s="1"/>
  <c r="R21" i="17" s="1"/>
  <c r="BE17" i="17"/>
  <c r="BF17" i="17" s="1"/>
  <c r="BE13" i="17"/>
  <c r="BF13" i="17" s="1"/>
  <c r="R13" i="17" s="1"/>
  <c r="BE30" i="17"/>
  <c r="BF30" i="17" s="1"/>
  <c r="BE24" i="17"/>
  <c r="BF24" i="17" s="1"/>
  <c r="R24" i="17" s="1"/>
  <c r="BE20" i="17"/>
  <c r="BF20" i="17" s="1"/>
  <c r="R20" i="17" s="1"/>
  <c r="BE16" i="17"/>
  <c r="BF16" i="17" s="1"/>
  <c r="R16" i="17" s="1"/>
  <c r="BE12" i="17"/>
  <c r="BF12" i="17" s="1"/>
  <c r="R12" i="17" s="1"/>
  <c r="BE27" i="17"/>
  <c r="BF27" i="17" s="1"/>
  <c r="R27" i="17" s="1"/>
  <c r="BE23" i="17"/>
  <c r="BF23" i="17" s="1"/>
  <c r="R23" i="17" s="1"/>
  <c r="BE19" i="17"/>
  <c r="BF19" i="17" s="1"/>
  <c r="R19" i="17" s="1"/>
  <c r="BE15" i="17"/>
  <c r="BF15" i="17" s="1"/>
  <c r="R15" i="17" s="1"/>
  <c r="BE11" i="17"/>
  <c r="BF11" i="17" s="1"/>
  <c r="R11" i="17" s="1"/>
  <c r="BE26" i="17"/>
  <c r="BF26" i="17" s="1"/>
  <c r="R26" i="17" s="1"/>
  <c r="BE22" i="17"/>
  <c r="BF22" i="17" s="1"/>
  <c r="R22" i="17" s="1"/>
  <c r="BE18" i="17"/>
  <c r="BF18" i="17" s="1"/>
  <c r="R18" i="17" s="1"/>
  <c r="BE14" i="17"/>
  <c r="BF14" i="17" s="1"/>
  <c r="R14" i="17" s="1"/>
  <c r="BE10" i="17"/>
  <c r="Q10" i="17" s="1"/>
  <c r="BA27" i="17"/>
  <c r="BB27" i="17" s="1"/>
  <c r="N27" i="17" s="1"/>
  <c r="BA26" i="17"/>
  <c r="BB26" i="17" s="1"/>
  <c r="N26" i="17" s="1"/>
  <c r="BA13" i="17"/>
  <c r="BB13" i="17" s="1"/>
  <c r="N13" i="17" s="1"/>
  <c r="BA11" i="17"/>
  <c r="BB11" i="17" s="1"/>
  <c r="BA10" i="17"/>
  <c r="BB10" i="17" s="1"/>
  <c r="BA24" i="17"/>
  <c r="BB24" i="17" s="1"/>
  <c r="N24" i="17" s="1"/>
  <c r="BA17" i="17"/>
  <c r="BB17" i="17" s="1"/>
  <c r="BA31" i="17"/>
  <c r="BB31" i="17" s="1"/>
  <c r="BA21" i="17"/>
  <c r="BB21" i="17" s="1"/>
  <c r="N21" i="17" s="1"/>
  <c r="BA19" i="17"/>
  <c r="BB19" i="17" s="1"/>
  <c r="BA16" i="17"/>
  <c r="BB16" i="17" s="1"/>
  <c r="BA20" i="17"/>
  <c r="BB20" i="17" s="1"/>
  <c r="N20" i="17" s="1"/>
  <c r="BA25" i="17"/>
  <c r="BB25" i="17" s="1"/>
  <c r="BA23" i="17"/>
  <c r="BB23" i="17" s="1"/>
  <c r="N23" i="17" s="1"/>
  <c r="BA18" i="17"/>
  <c r="BB18" i="17" s="1"/>
  <c r="N18" i="17" s="1"/>
  <c r="BA15" i="17"/>
  <c r="BB15" i="17" s="1"/>
  <c r="BA12" i="17"/>
  <c r="BB12" i="17" s="1"/>
  <c r="N12" i="17" s="1"/>
  <c r="BA22" i="17"/>
  <c r="BB22" i="17" s="1"/>
  <c r="N22" i="17" s="1"/>
  <c r="C11" i="16"/>
  <c r="F11" i="16" s="1"/>
  <c r="C15" i="16"/>
  <c r="F15" i="16" s="1"/>
  <c r="BM32" i="17"/>
  <c r="BN30" i="17"/>
  <c r="BN32" i="17" s="1"/>
  <c r="AH30" i="17"/>
  <c r="BN10" i="17"/>
  <c r="BN28" i="17" s="1"/>
  <c r="BM28" i="17"/>
  <c r="EX30" i="17"/>
  <c r="EX32" i="17" s="1"/>
  <c r="EW32" i="17"/>
  <c r="GL10" i="17"/>
  <c r="GL28" i="17" s="1"/>
  <c r="GK28" i="17"/>
  <c r="GL30" i="17"/>
  <c r="GL32" i="17" s="1"/>
  <c r="GK32" i="17"/>
  <c r="HA28" i="17"/>
  <c r="BJ30" i="17"/>
  <c r="BJ32" i="17" s="1"/>
  <c r="BI32" i="17"/>
  <c r="P3" i="17"/>
  <c r="GH10" i="17"/>
  <c r="BJ10" i="17"/>
  <c r="BO32" i="6"/>
  <c r="CZ32" i="6" s="1"/>
  <c r="BO26" i="6"/>
  <c r="CZ26" i="6" s="1"/>
  <c r="BO22" i="6"/>
  <c r="CZ22" i="6" s="1"/>
  <c r="BO18" i="6"/>
  <c r="CZ18" i="6" s="1"/>
  <c r="BO14" i="6"/>
  <c r="CZ14" i="6" s="1"/>
  <c r="BO31" i="6"/>
  <c r="CZ31" i="6" s="1"/>
  <c r="BO25" i="6"/>
  <c r="CZ25" i="6" s="1"/>
  <c r="BO21" i="6"/>
  <c r="CZ21" i="6" s="1"/>
  <c r="BO17" i="6"/>
  <c r="CZ17" i="6" s="1"/>
  <c r="BO13" i="6"/>
  <c r="CZ13" i="6" s="1"/>
  <c r="BO28" i="6"/>
  <c r="CZ28" i="6" s="1"/>
  <c r="BO24" i="6"/>
  <c r="CZ24" i="6" s="1"/>
  <c r="BO20" i="6"/>
  <c r="CZ20" i="6" s="1"/>
  <c r="BO16" i="6"/>
  <c r="CZ16" i="6" s="1"/>
  <c r="BO12" i="6"/>
  <c r="CZ12" i="6" s="1"/>
  <c r="BO27" i="6"/>
  <c r="CZ27" i="6" s="1"/>
  <c r="BO23" i="6"/>
  <c r="CZ23" i="6" s="1"/>
  <c r="BO19" i="6"/>
  <c r="CZ19" i="6" s="1"/>
  <c r="BO15" i="6"/>
  <c r="CZ15" i="6" s="1"/>
  <c r="BO11" i="6"/>
  <c r="CZ11" i="6" s="1"/>
  <c r="BN27" i="6"/>
  <c r="CY27" i="6" s="1"/>
  <c r="BN23" i="6"/>
  <c r="CY23" i="6" s="1"/>
  <c r="BN19" i="6"/>
  <c r="CY19" i="6" s="1"/>
  <c r="BN14" i="6"/>
  <c r="CY14" i="6" s="1"/>
  <c r="BN18" i="6"/>
  <c r="CY18" i="6" s="1"/>
  <c r="BN11" i="6"/>
  <c r="CY11" i="6" s="1"/>
  <c r="BN26" i="6"/>
  <c r="CY26" i="6" s="1"/>
  <c r="I157" i="8"/>
  <c r="I389" i="8"/>
  <c r="G385" i="8"/>
  <c r="I224" i="8"/>
  <c r="D225" i="8"/>
  <c r="I102" i="8"/>
  <c r="I179" i="8"/>
  <c r="CX30" i="2"/>
  <c r="CX37" i="2" s="1"/>
  <c r="CT59" i="2" s="1"/>
  <c r="I29" i="6"/>
  <c r="I36" i="6" s="1"/>
  <c r="D20" i="8"/>
  <c r="I317" i="8"/>
  <c r="QX12" i="2"/>
  <c r="QX30" i="2" s="1"/>
  <c r="QX37" i="2" s="1"/>
  <c r="DX30" i="2"/>
  <c r="DX54" i="2" s="1"/>
  <c r="I386" i="8"/>
  <c r="BJ30" i="2"/>
  <c r="BJ37" i="2" s="1"/>
  <c r="BB59" i="2" s="1"/>
  <c r="BI12" i="2"/>
  <c r="BI30" i="2" s="1"/>
  <c r="BI37" i="2" s="1"/>
  <c r="AQ54" i="2"/>
  <c r="AQ55" i="2"/>
  <c r="CO12" i="2"/>
  <c r="AR42" i="1"/>
  <c r="CR12" i="2"/>
  <c r="BF11" i="1" s="1"/>
  <c r="I299" i="8"/>
  <c r="G298" i="8"/>
  <c r="I298" i="8" s="1"/>
  <c r="I123" i="8"/>
  <c r="BB37" i="2"/>
  <c r="BB53" i="2" s="1"/>
  <c r="BT37" i="2"/>
  <c r="BD60" i="2" s="1"/>
  <c r="EB37" i="2"/>
  <c r="F230" i="8" s="1"/>
  <c r="AS37" i="2"/>
  <c r="AC37" i="2"/>
  <c r="H453" i="8"/>
  <c r="E532" i="8"/>
  <c r="H10" i="16" s="1"/>
  <c r="NY37" i="2"/>
  <c r="NY42" i="2" s="1"/>
  <c r="BY33" i="6"/>
  <c r="I154" i="8"/>
  <c r="CB37" i="2"/>
  <c r="HO37" i="2"/>
  <c r="F363" i="8" s="1"/>
  <c r="F364" i="8" s="1"/>
  <c r="BR37" i="2"/>
  <c r="BB60" i="2" s="1"/>
  <c r="I13" i="8"/>
  <c r="CT37" i="2"/>
  <c r="U33" i="3"/>
  <c r="G2" i="4"/>
  <c r="DB37" i="2"/>
  <c r="DB55" i="2"/>
  <c r="D532" i="8"/>
  <c r="C10" i="16" s="1"/>
  <c r="G530" i="8"/>
  <c r="I530" i="8" s="1"/>
  <c r="F532" i="8"/>
  <c r="I10" i="16" s="1"/>
  <c r="G10" i="16" s="1"/>
  <c r="E531" i="8"/>
  <c r="F531" i="8"/>
  <c r="O33" i="3"/>
  <c r="AO33" i="3"/>
  <c r="O37" i="2"/>
  <c r="BC37" i="2"/>
  <c r="NZ37" i="2"/>
  <c r="NZ42" i="2" s="1"/>
  <c r="Z37" i="2"/>
  <c r="CV37" i="2"/>
  <c r="CA37" i="2"/>
  <c r="BZ53" i="2" s="1"/>
  <c r="BZ57" i="2" s="1"/>
  <c r="CL37" i="2"/>
  <c r="BA12" i="1"/>
  <c r="LF38" i="2"/>
  <c r="LF42" i="2" s="1"/>
  <c r="CZ37" i="2"/>
  <c r="W34" i="2"/>
  <c r="LG38" i="2"/>
  <c r="LG42" i="2" s="1"/>
  <c r="HN30" i="2"/>
  <c r="F340" i="8"/>
  <c r="DH37" i="2"/>
  <c r="DB60" i="2" s="1"/>
  <c r="BL37" i="2"/>
  <c r="BD59" i="2" s="1"/>
  <c r="AM33" i="6"/>
  <c r="G33" i="6"/>
  <c r="AD37" i="2"/>
  <c r="X37" i="2"/>
  <c r="G29" i="6"/>
  <c r="AH37" i="2"/>
  <c r="Y37" i="2"/>
  <c r="BK37" i="2"/>
  <c r="W30" i="2"/>
  <c r="M33" i="6"/>
  <c r="BG33" i="6"/>
  <c r="DD37" i="2"/>
  <c r="DB56" i="2" s="1"/>
  <c r="AR37" i="2"/>
  <c r="AR53" i="2" s="1"/>
  <c r="Q37" i="2"/>
  <c r="AR40" i="1" s="1"/>
  <c r="EC37" i="2"/>
  <c r="C9" i="7" s="1"/>
  <c r="DY37" i="2"/>
  <c r="DY42" i="2" s="1"/>
  <c r="AC36" i="1"/>
  <c r="AC37" i="1" s="1"/>
  <c r="BG36" i="1"/>
  <c r="BG37" i="1" s="1"/>
  <c r="CK37" i="2"/>
  <c r="CJ60" i="2" s="1"/>
  <c r="BS37" i="2"/>
  <c r="BD37" i="2"/>
  <c r="AU37" i="2"/>
  <c r="AU53" i="2" s="1"/>
  <c r="M37" i="2"/>
  <c r="HP37" i="2"/>
  <c r="ED37" i="2"/>
  <c r="F227" i="8" s="1"/>
  <c r="F228" i="8" s="1"/>
  <c r="BA25" i="1"/>
  <c r="BA23" i="1"/>
  <c r="W14" i="1"/>
  <c r="BA27" i="1"/>
  <c r="BA15" i="1"/>
  <c r="BA13" i="1"/>
  <c r="W21" i="1"/>
  <c r="BA28" i="1"/>
  <c r="BA26" i="1"/>
  <c r="BA24" i="1"/>
  <c r="BA22" i="1"/>
  <c r="BA20" i="1"/>
  <c r="BA18" i="1"/>
  <c r="BA16" i="1"/>
  <c r="BA14" i="1"/>
  <c r="BA19" i="1"/>
  <c r="BA17" i="1"/>
  <c r="BA11" i="1"/>
  <c r="W16" i="1"/>
  <c r="BA21" i="1"/>
  <c r="BE29" i="1"/>
  <c r="BE36" i="1" s="1"/>
  <c r="AY25" i="1"/>
  <c r="AY14" i="1"/>
  <c r="AY28" i="1"/>
  <c r="AY19" i="1"/>
  <c r="AY21" i="1"/>
  <c r="AY12" i="1"/>
  <c r="AY18" i="1"/>
  <c r="AY17" i="1"/>
  <c r="AY16" i="1"/>
  <c r="AY15" i="1"/>
  <c r="AK33" i="6"/>
  <c r="F285" i="8"/>
  <c r="G37" i="2"/>
  <c r="F72" i="8"/>
  <c r="F73" i="8" s="1"/>
  <c r="F355" i="8"/>
  <c r="AJ14" i="1"/>
  <c r="O29" i="6"/>
  <c r="BW33" i="6"/>
  <c r="BQ33" i="6"/>
  <c r="AU29" i="1"/>
  <c r="AU36" i="1" s="1"/>
  <c r="BY29" i="6"/>
  <c r="CE29" i="6"/>
  <c r="AW33" i="6"/>
  <c r="CE33" i="6"/>
  <c r="H115" i="8"/>
  <c r="H13" i="8"/>
  <c r="G453" i="8"/>
  <c r="I453" i="8" s="1"/>
  <c r="G245" i="8"/>
  <c r="H391" i="8"/>
  <c r="G382" i="8"/>
  <c r="I382" i="8" s="1"/>
  <c r="I244" i="8"/>
  <c r="I246" i="8"/>
  <c r="I390" i="8"/>
  <c r="H245" i="8"/>
  <c r="H382" i="8"/>
  <c r="H319" i="8"/>
  <c r="C30" i="3"/>
  <c r="H530" i="8"/>
  <c r="I37" i="2"/>
  <c r="AR39" i="1" s="1"/>
  <c r="K30" i="2"/>
  <c r="K37" i="2" s="1"/>
  <c r="L67" i="1" s="1"/>
  <c r="U37" i="2"/>
  <c r="C32" i="5"/>
  <c r="AJ21" i="1"/>
  <c r="A3" i="15"/>
  <c r="C31" i="5"/>
  <c r="C28" i="5"/>
  <c r="I33" i="3"/>
  <c r="BI29" i="1"/>
  <c r="BI36" i="1" s="1"/>
  <c r="BW29" i="6"/>
  <c r="CF37" i="2"/>
  <c r="CE60" i="2" s="1"/>
  <c r="E18" i="2"/>
  <c r="AG17" i="1" s="1"/>
  <c r="BV33" i="6"/>
  <c r="DF37" i="2"/>
  <c r="DB59" i="2" s="1"/>
  <c r="E32" i="2"/>
  <c r="AG31" i="1" s="1"/>
  <c r="E22" i="2"/>
  <c r="AG21" i="1" s="1"/>
  <c r="AE29" i="1"/>
  <c r="AE36" i="1" s="1"/>
  <c r="BS33" i="6"/>
  <c r="AY33" i="6"/>
  <c r="CD33" i="6"/>
  <c r="AW29" i="6"/>
  <c r="BS29" i="6"/>
  <c r="AY29" i="6"/>
  <c r="M29" i="6"/>
  <c r="BG29" i="6"/>
  <c r="AK29" i="6"/>
  <c r="EO28" i="17" s="1"/>
  <c r="EO35" i="17" s="1"/>
  <c r="EO36" i="17" s="1"/>
  <c r="O33" i="6"/>
  <c r="S29" i="1"/>
  <c r="S36" i="1" s="1"/>
  <c r="E26" i="2"/>
  <c r="AG25" i="1" s="1"/>
  <c r="AP31" i="1"/>
  <c r="AB30" i="2"/>
  <c r="S30" i="2"/>
  <c r="E29" i="2"/>
  <c r="AG28" i="1" s="1"/>
  <c r="F274" i="8"/>
  <c r="BB24" i="1"/>
  <c r="BB22" i="1"/>
  <c r="M31" i="1"/>
  <c r="F31" i="1"/>
  <c r="F15" i="1"/>
  <c r="F25" i="1"/>
  <c r="AI11" i="1"/>
  <c r="AR58" i="1"/>
  <c r="AX25" i="6"/>
  <c r="GW24" i="17" s="1"/>
  <c r="AR56" i="1"/>
  <c r="BB27" i="1"/>
  <c r="BB13" i="1"/>
  <c r="BB15" i="1"/>
  <c r="BU33" i="6"/>
  <c r="AR47" i="1"/>
  <c r="AI33" i="3"/>
  <c r="AI38" i="3" s="1"/>
  <c r="W33" i="3"/>
  <c r="W38" i="3" s="1"/>
  <c r="W40" i="3" s="1"/>
  <c r="M33" i="3"/>
  <c r="M38" i="3" s="1"/>
  <c r="M40" i="3" s="1"/>
  <c r="G26" i="4"/>
  <c r="U36" i="3"/>
  <c r="AL32" i="5"/>
  <c r="H32" i="5"/>
  <c r="E33" i="2"/>
  <c r="AG32" i="1" s="1"/>
  <c r="E28" i="2"/>
  <c r="AG27" i="1" s="1"/>
  <c r="E13" i="2"/>
  <c r="AG12" i="1" s="1"/>
  <c r="E12" i="2"/>
  <c r="AG11" i="1" s="1"/>
  <c r="AX20" i="6"/>
  <c r="GW19" i="17" s="1"/>
  <c r="Q33" i="3"/>
  <c r="Q38" i="3" s="1"/>
  <c r="F80" i="8" s="1"/>
  <c r="AB34" i="2"/>
  <c r="CP34" i="2"/>
  <c r="E17" i="2"/>
  <c r="AG16" i="1" s="1"/>
  <c r="E16" i="2"/>
  <c r="AG15" i="1" s="1"/>
  <c r="E15" i="2"/>
  <c r="AG14" i="1" s="1"/>
  <c r="E14" i="2"/>
  <c r="AG13" i="1" s="1"/>
  <c r="B46" i="7"/>
  <c r="F17" i="1"/>
  <c r="AL31" i="6"/>
  <c r="ES30" i="17" s="1"/>
  <c r="AE33" i="3"/>
  <c r="AE38" i="3" s="1"/>
  <c r="AE40" i="3" s="1"/>
  <c r="DX34" i="2"/>
  <c r="AF34" i="2"/>
  <c r="E27" i="2"/>
  <c r="AG26" i="1" s="1"/>
  <c r="E25" i="2"/>
  <c r="AG24" i="1" s="1"/>
  <c r="E23" i="2"/>
  <c r="AG22" i="1" s="1"/>
  <c r="E21" i="2"/>
  <c r="AG20" i="1" s="1"/>
  <c r="E20" i="2"/>
  <c r="AG19" i="1" s="1"/>
  <c r="E19" i="2"/>
  <c r="AG18" i="1" s="1"/>
  <c r="AF12" i="2"/>
  <c r="J33" i="3"/>
  <c r="E325" i="8" s="1"/>
  <c r="BB19" i="1"/>
  <c r="BQ29" i="6"/>
  <c r="BU29" i="6"/>
  <c r="AW29" i="1"/>
  <c r="AW36" i="1" s="1"/>
  <c r="W22" i="1"/>
  <c r="W12" i="1"/>
  <c r="D33" i="3"/>
  <c r="D38" i="3" s="1"/>
  <c r="E397" i="8" s="1"/>
  <c r="F21" i="1"/>
  <c r="F31" i="5"/>
  <c r="BP12" i="6"/>
  <c r="AJ31" i="5"/>
  <c r="A3" i="11"/>
  <c r="NS34" i="2"/>
  <c r="AL14" i="6"/>
  <c r="ES13" i="17" s="1"/>
  <c r="AX13" i="6"/>
  <c r="GW12" i="17" s="1"/>
  <c r="B43" i="7"/>
  <c r="F20" i="1"/>
  <c r="F19" i="1"/>
  <c r="H30" i="3"/>
  <c r="H44" i="3" s="1"/>
  <c r="AD26" i="3"/>
  <c r="AD33" i="3" s="1"/>
  <c r="AD38" i="3" s="1"/>
  <c r="E110" i="8" s="1"/>
  <c r="E111" i="8" s="1"/>
  <c r="G112" i="8" s="1"/>
  <c r="I112" i="8" s="1"/>
  <c r="AJ26" i="4"/>
  <c r="AL28" i="5"/>
  <c r="H28" i="5"/>
  <c r="R28" i="5"/>
  <c r="L28" i="5"/>
  <c r="L26" i="3"/>
  <c r="L30" i="3"/>
  <c r="DR37" i="2"/>
  <c r="E253" i="8" s="1"/>
  <c r="N33" i="3"/>
  <c r="W13" i="1"/>
  <c r="BP20" i="6"/>
  <c r="V33" i="3"/>
  <c r="V38" i="3" s="1"/>
  <c r="E15" i="8" s="1"/>
  <c r="BT32" i="6"/>
  <c r="BT16" i="6"/>
  <c r="BN16" i="6" s="1"/>
  <c r="J28" i="5"/>
  <c r="AF28" i="5"/>
  <c r="F23" i="1"/>
  <c r="A3" i="8"/>
  <c r="W18" i="1"/>
  <c r="N16" i="6"/>
  <c r="A3" i="13"/>
  <c r="F27" i="6"/>
  <c r="AC26" i="17" s="1"/>
  <c r="F15" i="6"/>
  <c r="AC14" i="17" s="1"/>
  <c r="F14" i="6"/>
  <c r="AC13" i="17" s="1"/>
  <c r="BO30" i="2"/>
  <c r="BO37" i="2" s="1"/>
  <c r="BR33" i="6"/>
  <c r="N33" i="6"/>
  <c r="AL32" i="6"/>
  <c r="ES31" i="17" s="1"/>
  <c r="ET31" i="17" s="1"/>
  <c r="AX24" i="6"/>
  <c r="GW23" i="17" s="1"/>
  <c r="DE34" i="2"/>
  <c r="DQ12" i="2"/>
  <c r="NR30" i="2"/>
  <c r="CY34" i="2"/>
  <c r="BT28" i="6"/>
  <c r="BN28" i="6" s="1"/>
  <c r="AY30" i="2"/>
  <c r="AY37" i="2" s="1"/>
  <c r="E45" i="8"/>
  <c r="G45" i="8" s="1"/>
  <c r="I45" i="8" s="1"/>
  <c r="W15" i="1"/>
  <c r="W17" i="1"/>
  <c r="W20" i="1"/>
  <c r="BR15" i="6"/>
  <c r="BN15" i="6" s="1"/>
  <c r="BR12" i="6"/>
  <c r="H34" i="2"/>
  <c r="BW34" i="2"/>
  <c r="BR21" i="6"/>
  <c r="BN21" i="6" s="1"/>
  <c r="CW12" i="2"/>
  <c r="DC34" i="2"/>
  <c r="AV12" i="6"/>
  <c r="B42" i="7"/>
  <c r="W23" i="1"/>
  <c r="AL19" i="6"/>
  <c r="ES18" i="17" s="1"/>
  <c r="L31" i="6"/>
  <c r="W25" i="1"/>
  <c r="W28" i="1"/>
  <c r="BX33" i="6"/>
  <c r="BN30" i="2"/>
  <c r="BN37" i="2" s="1"/>
  <c r="AX60" i="2" s="1"/>
  <c r="AX12" i="6"/>
  <c r="GW11" i="17" s="1"/>
  <c r="AX28" i="6"/>
  <c r="GW27" i="17" s="1"/>
  <c r="CW34" i="2"/>
  <c r="AX23" i="6"/>
  <c r="GW22" i="17" s="1"/>
  <c r="P33" i="3"/>
  <c r="P38" i="3" s="1"/>
  <c r="E80" i="8" s="1"/>
  <c r="W11" i="1"/>
  <c r="BP31" i="6"/>
  <c r="BP33" i="6" s="1"/>
  <c r="W19" i="1"/>
  <c r="BF33" i="6"/>
  <c r="HM34" i="2"/>
  <c r="BX29" i="6"/>
  <c r="W24" i="1"/>
  <c r="W27" i="1"/>
  <c r="AY11" i="1"/>
  <c r="G29" i="1"/>
  <c r="M32" i="1"/>
  <c r="G33" i="1"/>
  <c r="AK29" i="1"/>
  <c r="AK33" i="1"/>
  <c r="BH29" i="1"/>
  <c r="BH36" i="1" s="1"/>
  <c r="BH37" i="1" s="1"/>
  <c r="E24" i="2"/>
  <c r="AG23" i="1" s="1"/>
  <c r="K33" i="3"/>
  <c r="F325" i="8" s="1"/>
  <c r="AS27" i="1"/>
  <c r="AS26" i="1"/>
  <c r="AS24" i="1"/>
  <c r="AS23" i="1"/>
  <c r="AS22" i="1"/>
  <c r="F45" i="8"/>
  <c r="AS20" i="1"/>
  <c r="AS13" i="1"/>
  <c r="E33" i="3"/>
  <c r="E38" i="3" s="1"/>
  <c r="F397" i="8" s="1"/>
  <c r="F393" i="8" s="1"/>
  <c r="AP24" i="1"/>
  <c r="AX21" i="6"/>
  <c r="GW20" i="17" s="1"/>
  <c r="BT20" i="6"/>
  <c r="HK12" i="2"/>
  <c r="AB32" i="5"/>
  <c r="W26" i="1"/>
  <c r="Q29" i="1"/>
  <c r="Q36" i="1" s="1"/>
  <c r="J34" i="2"/>
  <c r="AO34" i="2"/>
  <c r="AO55" i="2" s="1"/>
  <c r="AK55" i="2" s="1"/>
  <c r="BV13" i="6"/>
  <c r="BT31" i="6"/>
  <c r="DW37" i="2"/>
  <c r="E227" i="8" s="1"/>
  <c r="AJ33" i="6"/>
  <c r="AZ34" i="2"/>
  <c r="AH32" i="5"/>
  <c r="L32" i="5"/>
  <c r="AG30" i="2"/>
  <c r="AG37" i="2" s="1"/>
  <c r="T30" i="3"/>
  <c r="AX17" i="6"/>
  <c r="GW16" i="17" s="1"/>
  <c r="V34" i="2"/>
  <c r="N56" i="1"/>
  <c r="BG12" i="2"/>
  <c r="CD17" i="6"/>
  <c r="BN17" i="6" s="1"/>
  <c r="AX27" i="6"/>
  <c r="GW26" i="17" s="1"/>
  <c r="AD32" i="5"/>
  <c r="P32" i="5"/>
  <c r="AX30" i="2"/>
  <c r="AX37" i="2" s="1"/>
  <c r="NS30" i="2"/>
  <c r="AM37" i="2"/>
  <c r="CD25" i="6"/>
  <c r="BN25" i="6" s="1"/>
  <c r="CD24" i="6"/>
  <c r="BN24" i="6" s="1"/>
  <c r="DU34" i="2"/>
  <c r="AZ30" i="2"/>
  <c r="AO54" i="2"/>
  <c r="F23" i="6"/>
  <c r="AC22" i="17" s="1"/>
  <c r="AV31" i="6"/>
  <c r="CD22" i="6"/>
  <c r="BN22" i="6" s="1"/>
  <c r="T34" i="2"/>
  <c r="AH36" i="3"/>
  <c r="X26" i="4"/>
  <c r="V30" i="2"/>
  <c r="AX32" i="6"/>
  <c r="GW31" i="17" s="1"/>
  <c r="GX31" i="17" s="1"/>
  <c r="P34" i="2"/>
  <c r="R34" i="2"/>
  <c r="L15" i="6"/>
  <c r="DV37" i="2"/>
  <c r="B9" i="7" s="1"/>
  <c r="AD28" i="5"/>
  <c r="AD31" i="5"/>
  <c r="BP30" i="2"/>
  <c r="BP37" i="2" s="1"/>
  <c r="AZ60" i="2" s="1"/>
  <c r="T26" i="4"/>
  <c r="L26" i="4"/>
  <c r="AH31" i="5"/>
  <c r="R31" i="5"/>
  <c r="L31" i="5"/>
  <c r="AL31" i="5"/>
  <c r="P28" i="5"/>
  <c r="H31" i="5"/>
  <c r="D10" i="8" l="1"/>
  <c r="E16" i="8"/>
  <c r="AO38" i="3"/>
  <c r="AO40" i="3" s="1"/>
  <c r="M13" i="17"/>
  <c r="Q21" i="17"/>
  <c r="L21" i="17" s="1"/>
  <c r="Q12" i="17"/>
  <c r="L12" i="17" s="1"/>
  <c r="Q24" i="17"/>
  <c r="L24" i="17" s="1"/>
  <c r="Q14" i="17"/>
  <c r="L14" i="17" s="1"/>
  <c r="Q19" i="17"/>
  <c r="L19" i="17" s="1"/>
  <c r="Q22" i="17"/>
  <c r="L22" i="17" s="1"/>
  <c r="Q13" i="17"/>
  <c r="L13" i="17" s="1"/>
  <c r="R30" i="17"/>
  <c r="Q16" i="17"/>
  <c r="L16" i="17" s="1"/>
  <c r="Q31" i="17"/>
  <c r="L31" i="17" s="1"/>
  <c r="Q30" i="17"/>
  <c r="L30" i="17" s="1"/>
  <c r="Q23" i="17"/>
  <c r="L23" i="17" s="1"/>
  <c r="Q20" i="17"/>
  <c r="L20" i="17" s="1"/>
  <c r="Q27" i="17"/>
  <c r="L27" i="17" s="1"/>
  <c r="N10" i="17"/>
  <c r="D14" i="6"/>
  <c r="B14" i="6" s="1"/>
  <c r="AG32" i="17"/>
  <c r="AH31" i="17"/>
  <c r="R31" i="17" s="1"/>
  <c r="HA32" i="17"/>
  <c r="HA35" i="17" s="1"/>
  <c r="HA36" i="17" s="1"/>
  <c r="AG28" i="17"/>
  <c r="G26" i="17"/>
  <c r="G23" i="17"/>
  <c r="F23" i="17" s="1"/>
  <c r="G20" i="17"/>
  <c r="F20" i="17" s="1"/>
  <c r="G13" i="17"/>
  <c r="F13" i="17" s="1"/>
  <c r="C20" i="17"/>
  <c r="C27" i="17"/>
  <c r="J67" i="1"/>
  <c r="C67" i="1" s="1"/>
  <c r="G40" i="2"/>
  <c r="U38" i="3"/>
  <c r="AS38" i="2" s="1"/>
  <c r="AS42" i="2" s="1"/>
  <c r="J10" i="16"/>
  <c r="BF10" i="17"/>
  <c r="R10" i="17" s="1"/>
  <c r="G22" i="17"/>
  <c r="F22" i="17" s="1"/>
  <c r="G19" i="17"/>
  <c r="F19" i="17" s="1"/>
  <c r="G16" i="17"/>
  <c r="F16" i="17" s="1"/>
  <c r="G18" i="17"/>
  <c r="G15" i="17"/>
  <c r="G12" i="17"/>
  <c r="F12" i="17" s="1"/>
  <c r="G14" i="17"/>
  <c r="F14" i="17" s="1"/>
  <c r="G11" i="17"/>
  <c r="G27" i="17"/>
  <c r="F27" i="17" s="1"/>
  <c r="G24" i="17"/>
  <c r="F24" i="17" s="1"/>
  <c r="G21" i="17"/>
  <c r="F21" i="17" s="1"/>
  <c r="C18" i="17"/>
  <c r="C13" i="17"/>
  <c r="B13" i="17" s="1"/>
  <c r="C12" i="17"/>
  <c r="C21" i="17"/>
  <c r="C22" i="17"/>
  <c r="C23" i="17"/>
  <c r="C24" i="17"/>
  <c r="C26" i="17"/>
  <c r="BE32" i="17"/>
  <c r="BF32" i="17"/>
  <c r="BE28" i="17"/>
  <c r="H10" i="17"/>
  <c r="BA30" i="17"/>
  <c r="BB30" i="17" s="1"/>
  <c r="BB32" i="17" s="1"/>
  <c r="BA14" i="17"/>
  <c r="BB14" i="17" s="1"/>
  <c r="H29" i="6"/>
  <c r="H36" i="6" s="1"/>
  <c r="AE10" i="17"/>
  <c r="F456" i="8"/>
  <c r="F449" i="8" s="1"/>
  <c r="F450" i="8" s="1"/>
  <c r="F10" i="16"/>
  <c r="F21" i="16" s="1"/>
  <c r="C21" i="16"/>
  <c r="C23" i="16" s="1"/>
  <c r="BN35" i="17"/>
  <c r="BM35" i="17"/>
  <c r="L10" i="17"/>
  <c r="GK35" i="17"/>
  <c r="GL35" i="17"/>
  <c r="GW28" i="17"/>
  <c r="AV29" i="6"/>
  <c r="GG11" i="17"/>
  <c r="ES32" i="17"/>
  <c r="ET30" i="17"/>
  <c r="ET32" i="17" s="1"/>
  <c r="AV33" i="6"/>
  <c r="GG30" i="17"/>
  <c r="N29" i="6"/>
  <c r="N36" i="6" s="1"/>
  <c r="BI15" i="17"/>
  <c r="BN12" i="6"/>
  <c r="CY12" i="6" s="1"/>
  <c r="BN20" i="6"/>
  <c r="CY20" i="6" s="1"/>
  <c r="BN31" i="6"/>
  <c r="CY31" i="6" s="1"/>
  <c r="H45" i="8"/>
  <c r="I391" i="8"/>
  <c r="G387" i="8"/>
  <c r="D37" i="8"/>
  <c r="G42" i="8"/>
  <c r="I42" i="8" s="1"/>
  <c r="G43" i="8"/>
  <c r="I43" i="8" s="1"/>
  <c r="CT60" i="2"/>
  <c r="CT56" i="2"/>
  <c r="F15" i="8"/>
  <c r="CY21" i="6"/>
  <c r="CY25" i="6"/>
  <c r="CY28" i="6"/>
  <c r="CY24" i="6"/>
  <c r="CY17" i="6"/>
  <c r="CY15" i="6"/>
  <c r="CY16" i="6"/>
  <c r="BE12" i="2"/>
  <c r="BE30" i="2" s="1"/>
  <c r="BE37" i="2" s="1"/>
  <c r="DQ30" i="2"/>
  <c r="DQ54" i="2" s="1"/>
  <c r="BA60" i="2"/>
  <c r="BA59" i="2"/>
  <c r="AQ53" i="2"/>
  <c r="AW60" i="2"/>
  <c r="NY38" i="2"/>
  <c r="F153" i="8" s="1"/>
  <c r="S37" i="2"/>
  <c r="L68" i="1"/>
  <c r="C68" i="1" s="1"/>
  <c r="J77" i="1"/>
  <c r="J66" i="1"/>
  <c r="CR30" i="2"/>
  <c r="CR37" i="2" s="1"/>
  <c r="CP12" i="2"/>
  <c r="CP30" i="2" s="1"/>
  <c r="CP37" i="2" s="1"/>
  <c r="BY36" i="6"/>
  <c r="HO42" i="2"/>
  <c r="F288" i="8"/>
  <c r="AI26" i="1"/>
  <c r="AI28" i="1"/>
  <c r="AI22" i="1"/>
  <c r="AI13" i="1"/>
  <c r="AI19" i="1"/>
  <c r="AI16" i="1"/>
  <c r="AI25" i="1"/>
  <c r="AI15" i="1"/>
  <c r="AI21" i="1"/>
  <c r="AI27" i="1"/>
  <c r="AI24" i="1"/>
  <c r="AI14" i="1"/>
  <c r="AI20" i="1"/>
  <c r="AI31" i="1"/>
  <c r="C44" i="7"/>
  <c r="C46" i="7"/>
  <c r="BB56" i="2"/>
  <c r="W37" i="2"/>
  <c r="EB42" i="2"/>
  <c r="E34" i="2"/>
  <c r="E44" i="2" s="1"/>
  <c r="BZ38" i="2"/>
  <c r="AR45" i="1"/>
  <c r="M36" i="6"/>
  <c r="CT38" i="2"/>
  <c r="AR44" i="1"/>
  <c r="F231" i="8"/>
  <c r="H532" i="8"/>
  <c r="F34" i="8"/>
  <c r="AR38" i="2"/>
  <c r="AR42" i="2" s="1"/>
  <c r="E289" i="8"/>
  <c r="E292" i="8" s="1"/>
  <c r="B19" i="7"/>
  <c r="AM17" i="1"/>
  <c r="C30" i="7"/>
  <c r="D526" i="8"/>
  <c r="CB38" i="2"/>
  <c r="F63" i="8" s="1"/>
  <c r="F64" i="8" s="1"/>
  <c r="F48" i="8" s="1"/>
  <c r="L33" i="6"/>
  <c r="Q40" i="3"/>
  <c r="O38" i="2"/>
  <c r="DB38" i="2"/>
  <c r="DB53" i="2" s="1"/>
  <c r="DB57" i="2" s="1"/>
  <c r="BD56" i="2"/>
  <c r="BD53" i="2"/>
  <c r="NZ38" i="2"/>
  <c r="I2" i="5"/>
  <c r="I2" i="3"/>
  <c r="F110" i="8"/>
  <c r="H110" i="8" s="1"/>
  <c r="C43" i="7"/>
  <c r="NR37" i="2"/>
  <c r="AX53" i="2"/>
  <c r="AX56" i="2"/>
  <c r="AL37" i="2"/>
  <c r="AL53" i="2" s="1"/>
  <c r="AL54" i="2"/>
  <c r="CE53" i="2"/>
  <c r="CE56" i="2"/>
  <c r="CA38" i="2"/>
  <c r="CA42" i="2" s="1"/>
  <c r="CJ53" i="2"/>
  <c r="CJ56" i="2"/>
  <c r="DX37" i="2"/>
  <c r="DX53" i="2" s="1"/>
  <c r="DX55" i="2"/>
  <c r="C55" i="2" s="1"/>
  <c r="HN37" i="2"/>
  <c r="HN53" i="2" s="1"/>
  <c r="HN54" i="2"/>
  <c r="DB61" i="2"/>
  <c r="AM14" i="1"/>
  <c r="AM15" i="1"/>
  <c r="BG36" i="6"/>
  <c r="EC42" i="2"/>
  <c r="AK36" i="6"/>
  <c r="G36" i="6"/>
  <c r="C39" i="6" s="1"/>
  <c r="F233" i="8"/>
  <c r="F234" i="8" s="1"/>
  <c r="BS36" i="6"/>
  <c r="C25" i="7"/>
  <c r="F366" i="8"/>
  <c r="F367" i="8" s="1"/>
  <c r="E398" i="8"/>
  <c r="H531" i="8"/>
  <c r="HP42" i="2"/>
  <c r="AU38" i="2"/>
  <c r="F150" i="8" s="1"/>
  <c r="G38" i="2"/>
  <c r="D10" i="15" s="1"/>
  <c r="E46" i="2"/>
  <c r="O36" i="6"/>
  <c r="ED42" i="2"/>
  <c r="F253" i="8"/>
  <c r="F254" i="8" s="1"/>
  <c r="E47" i="2"/>
  <c r="BE37" i="1" s="1"/>
  <c r="BA29" i="1"/>
  <c r="BA36" i="1" s="1"/>
  <c r="L75" i="1" s="1"/>
  <c r="AF30" i="2"/>
  <c r="AF37" i="2" s="1"/>
  <c r="BB12" i="1"/>
  <c r="X20" i="1"/>
  <c r="AP25" i="1"/>
  <c r="BB20" i="1"/>
  <c r="X25" i="1"/>
  <c r="X12" i="1"/>
  <c r="BB23" i="1"/>
  <c r="BB18" i="1"/>
  <c r="BB26" i="1"/>
  <c r="X26" i="1"/>
  <c r="BB14" i="1"/>
  <c r="BB21" i="1"/>
  <c r="BB28" i="1"/>
  <c r="AY20" i="1"/>
  <c r="AY24" i="1"/>
  <c r="AM18" i="1"/>
  <c r="AM21" i="1"/>
  <c r="AY13" i="1"/>
  <c r="AY23" i="1"/>
  <c r="AY22" i="1"/>
  <c r="AY27" i="1"/>
  <c r="AM12" i="1"/>
  <c r="AY26" i="1"/>
  <c r="C19" i="7"/>
  <c r="C48" i="7"/>
  <c r="H107" i="8"/>
  <c r="AR55" i="1"/>
  <c r="F209" i="8"/>
  <c r="AI40" i="3"/>
  <c r="C42" i="7"/>
  <c r="F289" i="8"/>
  <c r="F292" i="8" s="1"/>
  <c r="BO33" i="6"/>
  <c r="CZ33" i="6" s="1"/>
  <c r="C28" i="6"/>
  <c r="AO11" i="1"/>
  <c r="BW36" i="6"/>
  <c r="C33" i="3"/>
  <c r="G107" i="8"/>
  <c r="NS37" i="2"/>
  <c r="BQ36" i="6"/>
  <c r="AW36" i="6"/>
  <c r="C14" i="6"/>
  <c r="CE36" i="6"/>
  <c r="I245" i="8"/>
  <c r="K38" i="3"/>
  <c r="K40" i="3" s="1"/>
  <c r="C47" i="7"/>
  <c r="J38" i="3"/>
  <c r="AZ37" i="2"/>
  <c r="E34" i="8"/>
  <c r="G110" i="8"/>
  <c r="I110" i="8" s="1"/>
  <c r="C17" i="6"/>
  <c r="C21" i="6"/>
  <c r="AJ26" i="1"/>
  <c r="AJ12" i="1"/>
  <c r="AJ20" i="1"/>
  <c r="AJ19" i="1"/>
  <c r="AJ17" i="1"/>
  <c r="AJ16" i="1"/>
  <c r="AJ15" i="1"/>
  <c r="C22" i="6"/>
  <c r="C13" i="6"/>
  <c r="C25" i="6"/>
  <c r="AY36" i="6"/>
  <c r="AJ13" i="1"/>
  <c r="AJ27" i="1"/>
  <c r="AJ22" i="1"/>
  <c r="AJ23" i="1"/>
  <c r="AJ28" i="1"/>
  <c r="E40" i="3"/>
  <c r="G397" i="8"/>
  <c r="DU37" i="2"/>
  <c r="E230" i="8" s="1"/>
  <c r="F328" i="8"/>
  <c r="F329" i="8" s="1"/>
  <c r="F262" i="8"/>
  <c r="I38" i="3"/>
  <c r="I40" i="3" s="1"/>
  <c r="F271" i="8"/>
  <c r="L33" i="3"/>
  <c r="L38" i="3" s="1"/>
  <c r="E328" i="8" s="1"/>
  <c r="E321" i="8" s="1"/>
  <c r="BO29" i="6"/>
  <c r="CZ29" i="6" s="1"/>
  <c r="C23" i="6"/>
  <c r="AM16" i="1"/>
  <c r="C20" i="6"/>
  <c r="E33" i="6"/>
  <c r="AM19" i="1"/>
  <c r="BU36" i="6"/>
  <c r="AP14" i="1"/>
  <c r="AB37" i="2"/>
  <c r="AR41" i="1" s="1"/>
  <c r="C11" i="6"/>
  <c r="BB25" i="1"/>
  <c r="AQ33" i="1"/>
  <c r="BX36" i="6"/>
  <c r="AM25" i="1"/>
  <c r="AM28" i="1"/>
  <c r="V37" i="2"/>
  <c r="BC29" i="1"/>
  <c r="BC36" i="1" s="1"/>
  <c r="M33" i="1"/>
  <c r="CG29" i="6"/>
  <c r="H101" i="8"/>
  <c r="G101" i="8"/>
  <c r="C15" i="6"/>
  <c r="H339" i="8"/>
  <c r="G339" i="8"/>
  <c r="I339" i="8" s="1"/>
  <c r="E340" i="8"/>
  <c r="G341" i="8" s="1"/>
  <c r="I341" i="8" s="1"/>
  <c r="C16" i="7"/>
  <c r="AL33" i="6"/>
  <c r="L25" i="1"/>
  <c r="F275" i="8"/>
  <c r="B44" i="7"/>
  <c r="BT29" i="6"/>
  <c r="E352" i="8"/>
  <c r="AP21" i="1"/>
  <c r="X17" i="1"/>
  <c r="AP18" i="1"/>
  <c r="E274" i="8"/>
  <c r="F14" i="1"/>
  <c r="F27" i="1"/>
  <c r="BB11" i="1"/>
  <c r="AP11" i="1"/>
  <c r="F13" i="1"/>
  <c r="BB17" i="1"/>
  <c r="F12" i="1"/>
  <c r="F26" i="1"/>
  <c r="Y29" i="1"/>
  <c r="Y36" i="1" s="1"/>
  <c r="F173" i="8"/>
  <c r="F176" i="8" s="1"/>
  <c r="AM32" i="1"/>
  <c r="L23" i="1"/>
  <c r="C31" i="6"/>
  <c r="BP29" i="6"/>
  <c r="BP36" i="6" s="1"/>
  <c r="H397" i="8"/>
  <c r="G111" i="8"/>
  <c r="I111" i="8" s="1"/>
  <c r="F352" i="8"/>
  <c r="AI18" i="1"/>
  <c r="AI17" i="1"/>
  <c r="AA40" i="3"/>
  <c r="AM24" i="1"/>
  <c r="G15" i="8"/>
  <c r="I15" i="8" s="1"/>
  <c r="L20" i="1"/>
  <c r="AI23" i="1"/>
  <c r="C24" i="6"/>
  <c r="H80" i="8"/>
  <c r="AM23" i="1"/>
  <c r="G325" i="8"/>
  <c r="E326" i="8"/>
  <c r="G80" i="8"/>
  <c r="I80" i="8" s="1"/>
  <c r="AE34" i="2"/>
  <c r="L21" i="1"/>
  <c r="E254" i="8"/>
  <c r="L15" i="1"/>
  <c r="H42" i="8"/>
  <c r="BR29" i="6"/>
  <c r="BR36" i="6" s="1"/>
  <c r="H33" i="3"/>
  <c r="E262" i="8" s="1"/>
  <c r="DQ34" i="2"/>
  <c r="E81" i="8"/>
  <c r="G253" i="8"/>
  <c r="X19" i="1"/>
  <c r="L19" i="1"/>
  <c r="X21" i="1"/>
  <c r="AJ29" i="6"/>
  <c r="AJ36" i="6" s="1"/>
  <c r="X13" i="1"/>
  <c r="L31" i="1"/>
  <c r="AO37" i="2"/>
  <c r="AO53" i="2" s="1"/>
  <c r="AX29" i="6"/>
  <c r="X27" i="1"/>
  <c r="X23" i="1"/>
  <c r="B47" i="7"/>
  <c r="L17" i="1"/>
  <c r="W29" i="1"/>
  <c r="W36" i="1" s="1"/>
  <c r="K75" i="1" s="1"/>
  <c r="HM37" i="2"/>
  <c r="B25" i="7" s="1"/>
  <c r="AM27" i="1"/>
  <c r="AM13" i="1"/>
  <c r="AK36" i="1"/>
  <c r="AM22" i="1"/>
  <c r="AG29" i="1"/>
  <c r="AM11" i="1"/>
  <c r="F30" i="8"/>
  <c r="AM20" i="1"/>
  <c r="BB16" i="1"/>
  <c r="AV29" i="1"/>
  <c r="AV36" i="1" s="1"/>
  <c r="AM31" i="1"/>
  <c r="AG33" i="1"/>
  <c r="AM26" i="1"/>
  <c r="E30" i="2"/>
  <c r="G36" i="1"/>
  <c r="AS29" i="1"/>
  <c r="AS36" i="1" s="1"/>
  <c r="AQ29" i="1"/>
  <c r="M29" i="1"/>
  <c r="H325" i="8"/>
  <c r="F326" i="8"/>
  <c r="F322" i="8" s="1"/>
  <c r="F81" i="8"/>
  <c r="AI12" i="1"/>
  <c r="AI32" i="1"/>
  <c r="F398" i="8"/>
  <c r="F394" i="8" s="1"/>
  <c r="F395" i="8" s="1"/>
  <c r="E228" i="8"/>
  <c r="H228" i="8" s="1"/>
  <c r="G227" i="8"/>
  <c r="G228" i="8" s="1"/>
  <c r="I228" i="8" s="1"/>
  <c r="H227" i="8"/>
  <c r="BF29" i="6"/>
  <c r="BF36" i="6" s="1"/>
  <c r="F22" i="1"/>
  <c r="HK30" i="2"/>
  <c r="HK54" i="2" s="1"/>
  <c r="BV29" i="6"/>
  <c r="BV36" i="6" s="1"/>
  <c r="BT33" i="6"/>
  <c r="BG30" i="2"/>
  <c r="BG37" i="2" s="1"/>
  <c r="X15" i="1"/>
  <c r="T36" i="3"/>
  <c r="B45" i="3"/>
  <c r="F18" i="1"/>
  <c r="L29" i="6"/>
  <c r="CD29" i="6"/>
  <c r="CD36" i="6" s="1"/>
  <c r="CY22" i="6"/>
  <c r="V26" i="4"/>
  <c r="E233" i="8"/>
  <c r="BH30" i="2"/>
  <c r="BH37" i="2" s="1"/>
  <c r="AZ59" i="2" s="1"/>
  <c r="F16" i="1"/>
  <c r="H11" i="11"/>
  <c r="N58" i="1"/>
  <c r="F24" i="1"/>
  <c r="BF30" i="2"/>
  <c r="BF37" i="2" s="1"/>
  <c r="AX59" i="2" s="1"/>
  <c r="F251" i="8" l="1"/>
  <c r="G82" i="8"/>
  <c r="I82" i="8" s="1"/>
  <c r="E77" i="8"/>
  <c r="F16" i="8"/>
  <c r="G16" i="8"/>
  <c r="F223" i="8"/>
  <c r="R32" i="17"/>
  <c r="F504" i="8"/>
  <c r="Q32" i="17"/>
  <c r="L32" i="17" s="1"/>
  <c r="AG35" i="17"/>
  <c r="G31" i="17"/>
  <c r="F31" i="17" s="1"/>
  <c r="AH32" i="17"/>
  <c r="AH35" i="17" s="1"/>
  <c r="BF28" i="17"/>
  <c r="BF35" i="17" s="1"/>
  <c r="J69" i="1"/>
  <c r="D483" i="8"/>
  <c r="F212" i="8"/>
  <c r="F204" i="8"/>
  <c r="F207" i="8" s="1"/>
  <c r="BE35" i="17"/>
  <c r="F122" i="8"/>
  <c r="F124" i="8" s="1"/>
  <c r="F76" i="8"/>
  <c r="BB28" i="17"/>
  <c r="BB35" i="17" s="1"/>
  <c r="BA28" i="17"/>
  <c r="BA32" i="17"/>
  <c r="F248" i="8"/>
  <c r="BM36" i="17"/>
  <c r="AV36" i="6"/>
  <c r="K13" i="17"/>
  <c r="GK36" i="17"/>
  <c r="G30" i="17"/>
  <c r="G10" i="17"/>
  <c r="BJ15" i="17"/>
  <c r="N15" i="17" s="1"/>
  <c r="BI28" i="17"/>
  <c r="BI35" i="17" s="1"/>
  <c r="C10" i="17"/>
  <c r="GG32" i="17"/>
  <c r="GH30" i="17"/>
  <c r="GH32" i="17" s="1"/>
  <c r="GH11" i="17"/>
  <c r="N11" i="17" s="1"/>
  <c r="GG28" i="17"/>
  <c r="C50" i="7"/>
  <c r="CT61" i="2"/>
  <c r="F155" i="8"/>
  <c r="I101" i="8"/>
  <c r="G103" i="8"/>
  <c r="F222" i="8"/>
  <c r="H16" i="8"/>
  <c r="H15" i="8"/>
  <c r="I107" i="8"/>
  <c r="BA53" i="2"/>
  <c r="AW59" i="2"/>
  <c r="BA56" i="2"/>
  <c r="AK54" i="2"/>
  <c r="AK53" i="2"/>
  <c r="NS38" i="2"/>
  <c r="B34" i="7" s="1"/>
  <c r="NR38" i="2"/>
  <c r="E153" i="8" s="1"/>
  <c r="AO31" i="1"/>
  <c r="AO14" i="1"/>
  <c r="AO27" i="1"/>
  <c r="AO15" i="1"/>
  <c r="AO16" i="1"/>
  <c r="AO13" i="1"/>
  <c r="AO28" i="1"/>
  <c r="AO25" i="1"/>
  <c r="AO19" i="1"/>
  <c r="G292" i="8"/>
  <c r="AO20" i="1"/>
  <c r="AO21" i="1"/>
  <c r="AO26" i="1"/>
  <c r="AO22" i="1"/>
  <c r="AO24" i="1"/>
  <c r="F321" i="8"/>
  <c r="H321" i="8" s="1"/>
  <c r="F125" i="8"/>
  <c r="F127" i="8" s="1"/>
  <c r="I12" i="16" s="1"/>
  <c r="CB42" i="2"/>
  <c r="DB41" i="2"/>
  <c r="CT53" i="2"/>
  <c r="AU42" i="2"/>
  <c r="CT41" i="2"/>
  <c r="C27" i="7"/>
  <c r="F342" i="8"/>
  <c r="F272" i="8"/>
  <c r="I253" i="8"/>
  <c r="G230" i="8"/>
  <c r="F40" i="8"/>
  <c r="F35" i="8" s="1"/>
  <c r="F37" i="8" s="1"/>
  <c r="F529" i="8"/>
  <c r="G289" i="8"/>
  <c r="I289" i="8" s="1"/>
  <c r="B48" i="7"/>
  <c r="DX57" i="2"/>
  <c r="F169" i="8"/>
  <c r="F263" i="8"/>
  <c r="L36" i="6"/>
  <c r="H287" i="8"/>
  <c r="G18" i="8"/>
  <c r="G39" i="8"/>
  <c r="G34" i="8" s="1"/>
  <c r="H34" i="8"/>
  <c r="F111" i="8"/>
  <c r="H111" i="8" s="1"/>
  <c r="H255" i="8"/>
  <c r="H253" i="8"/>
  <c r="F156" i="8"/>
  <c r="F158" i="8" s="1"/>
  <c r="C34" i="7"/>
  <c r="HN57" i="2"/>
  <c r="AL38" i="2"/>
  <c r="E342" i="8" s="1"/>
  <c r="F60" i="8"/>
  <c r="F47" i="8" s="1"/>
  <c r="F49" i="8" s="1"/>
  <c r="G398" i="8"/>
  <c r="G415" i="8"/>
  <c r="G416" i="8" s="1"/>
  <c r="I416" i="8" s="1"/>
  <c r="H412" i="8"/>
  <c r="AZ53" i="2"/>
  <c r="AW53" i="2" s="1"/>
  <c r="AZ56" i="2"/>
  <c r="AW56" i="2" s="1"/>
  <c r="CJ57" i="2"/>
  <c r="CE61" i="2"/>
  <c r="CJ61" i="2"/>
  <c r="DQ37" i="2"/>
  <c r="DQ53" i="2" s="1"/>
  <c r="DQ55" i="2"/>
  <c r="CE57" i="2"/>
  <c r="E19" i="8"/>
  <c r="H18" i="8"/>
  <c r="H289" i="8"/>
  <c r="I397" i="8"/>
  <c r="E366" i="8"/>
  <c r="E367" i="8" s="1"/>
  <c r="H367" i="8" s="1"/>
  <c r="AY29" i="1"/>
  <c r="AY36" i="1" s="1"/>
  <c r="L66" i="1" s="1"/>
  <c r="L69" i="1" s="1"/>
  <c r="E48" i="2"/>
  <c r="H108" i="8"/>
  <c r="G108" i="8"/>
  <c r="AP12" i="1"/>
  <c r="AP17" i="1"/>
  <c r="AP20" i="1"/>
  <c r="H230" i="8"/>
  <c r="E231" i="8"/>
  <c r="AQ36" i="1"/>
  <c r="BO36" i="6"/>
  <c r="AP13" i="1"/>
  <c r="AP23" i="1"/>
  <c r="AP26" i="1"/>
  <c r="AP19" i="1"/>
  <c r="AP28" i="1"/>
  <c r="AP27" i="1"/>
  <c r="AP16" i="1"/>
  <c r="AP22" i="1"/>
  <c r="AP15" i="1"/>
  <c r="AO18" i="1"/>
  <c r="H103" i="8"/>
  <c r="D527" i="8"/>
  <c r="E329" i="8"/>
  <c r="G329" i="8" s="1"/>
  <c r="I329" i="8" s="1"/>
  <c r="G81" i="8"/>
  <c r="F19" i="8"/>
  <c r="H38" i="3"/>
  <c r="AO38" i="2"/>
  <c r="E150" i="8" s="1"/>
  <c r="G150" i="8" s="1"/>
  <c r="I150" i="8" s="1"/>
  <c r="H39" i="8"/>
  <c r="E40" i="8"/>
  <c r="E35" i="8" s="1"/>
  <c r="E37" i="8" s="1"/>
  <c r="G255" i="8"/>
  <c r="G254" i="8"/>
  <c r="H81" i="8"/>
  <c r="G340" i="8"/>
  <c r="I340" i="8" s="1"/>
  <c r="AJ29" i="1"/>
  <c r="G328" i="8"/>
  <c r="I328" i="8" s="1"/>
  <c r="H328" i="8"/>
  <c r="H341" i="8"/>
  <c r="H340" i="8"/>
  <c r="F152" i="8"/>
  <c r="BB29" i="1"/>
  <c r="BB36" i="1" s="1"/>
  <c r="L77" i="1" s="1"/>
  <c r="BT36" i="6"/>
  <c r="M36" i="1"/>
  <c r="G351" i="8"/>
  <c r="G352" i="8" s="1"/>
  <c r="I352" i="8" s="1"/>
  <c r="G19" i="11"/>
  <c r="H351" i="8"/>
  <c r="L13" i="1"/>
  <c r="AM33" i="1"/>
  <c r="E66" i="1" s="1"/>
  <c r="L26" i="1"/>
  <c r="L12" i="1"/>
  <c r="E355" i="8"/>
  <c r="H352" i="8"/>
  <c r="L27" i="1"/>
  <c r="AO23" i="1"/>
  <c r="AO17" i="1"/>
  <c r="I227" i="8"/>
  <c r="AM29" i="1"/>
  <c r="H66" i="1" s="1"/>
  <c r="H69" i="1" s="1"/>
  <c r="I325" i="8"/>
  <c r="G326" i="8"/>
  <c r="H19" i="11"/>
  <c r="I287" i="8"/>
  <c r="H254" i="8"/>
  <c r="H274" i="8"/>
  <c r="G274" i="8"/>
  <c r="I274" i="8" s="1"/>
  <c r="E275" i="8"/>
  <c r="E263" i="8"/>
  <c r="H262" i="8"/>
  <c r="G262" i="8"/>
  <c r="CF29" i="6"/>
  <c r="N55" i="1"/>
  <c r="E37" i="2"/>
  <c r="E38" i="2" s="1"/>
  <c r="E45" i="2"/>
  <c r="H398" i="8"/>
  <c r="F31" i="8"/>
  <c r="AG36" i="1"/>
  <c r="AI33" i="1"/>
  <c r="AO32" i="1"/>
  <c r="H326" i="8"/>
  <c r="H43" i="8"/>
  <c r="AI29" i="1"/>
  <c r="AO12" i="1"/>
  <c r="X14" i="1"/>
  <c r="L14" i="1"/>
  <c r="X22" i="1"/>
  <c r="L22" i="1"/>
  <c r="L16" i="1"/>
  <c r="H233" i="8"/>
  <c r="G233" i="8"/>
  <c r="E234" i="8"/>
  <c r="X24" i="1"/>
  <c r="F11" i="1"/>
  <c r="G11" i="11"/>
  <c r="G8" i="11" s="1"/>
  <c r="X11" i="1"/>
  <c r="I16" i="8"/>
  <c r="H73" i="8"/>
  <c r="I291" i="8"/>
  <c r="H291" i="8"/>
  <c r="X16" i="1"/>
  <c r="X18" i="1"/>
  <c r="L24" i="1"/>
  <c r="H17" i="8"/>
  <c r="G17" i="8"/>
  <c r="H8" i="11"/>
  <c r="L18" i="1"/>
  <c r="F249" i="8" l="1"/>
  <c r="F250" i="8" s="1"/>
  <c r="F323" i="8"/>
  <c r="G322" i="8"/>
  <c r="I322" i="8" s="1"/>
  <c r="E322" i="8"/>
  <c r="E323" i="8" s="1"/>
  <c r="I81" i="8"/>
  <c r="G77" i="8"/>
  <c r="E223" i="8"/>
  <c r="F496" i="8"/>
  <c r="F77" i="8"/>
  <c r="F78" i="8" s="1"/>
  <c r="F503" i="8"/>
  <c r="AG36" i="17"/>
  <c r="I11" i="16"/>
  <c r="BE36" i="17"/>
  <c r="F515" i="8"/>
  <c r="F510" i="8" s="1"/>
  <c r="E76" i="8"/>
  <c r="E78" i="8" s="1"/>
  <c r="B17" i="15"/>
  <c r="D490" i="8"/>
  <c r="D491" i="8" s="1"/>
  <c r="BA35" i="17"/>
  <c r="BA36" i="17" s="1"/>
  <c r="F114" i="8"/>
  <c r="F116" i="8" s="1"/>
  <c r="G12" i="16"/>
  <c r="G32" i="17"/>
  <c r="E39" i="17" s="1"/>
  <c r="F30" i="17"/>
  <c r="F32" i="17" s="1"/>
  <c r="F10" i="17"/>
  <c r="GG35" i="17"/>
  <c r="C15" i="17"/>
  <c r="BJ28" i="17"/>
  <c r="BJ35" i="17" s="1"/>
  <c r="BI36" i="17" s="1"/>
  <c r="GH28" i="17"/>
  <c r="GH35" i="17" s="1"/>
  <c r="H355" i="8"/>
  <c r="F135" i="8"/>
  <c r="F137" i="8" s="1"/>
  <c r="E155" i="8"/>
  <c r="F172" i="8"/>
  <c r="G104" i="8"/>
  <c r="I103" i="8"/>
  <c r="CT57" i="2"/>
  <c r="F225" i="8"/>
  <c r="F344" i="8"/>
  <c r="E344" i="8"/>
  <c r="H109" i="8"/>
  <c r="I108" i="8"/>
  <c r="G109" i="8"/>
  <c r="E156" i="8"/>
  <c r="E158" i="8" s="1"/>
  <c r="AO33" i="1"/>
  <c r="E75" i="1" s="1"/>
  <c r="G399" i="8"/>
  <c r="E69" i="1"/>
  <c r="C66" i="1"/>
  <c r="C69" i="1" s="1"/>
  <c r="G273" i="8"/>
  <c r="I230" i="8"/>
  <c r="G321" i="8"/>
  <c r="H322" i="8"/>
  <c r="G231" i="8"/>
  <c r="I254" i="8"/>
  <c r="I255" i="8"/>
  <c r="H231" i="8"/>
  <c r="H234" i="8"/>
  <c r="G171" i="8"/>
  <c r="I262" i="8"/>
  <c r="CZ36" i="6"/>
  <c r="G147" i="8"/>
  <c r="G136" i="8" s="1"/>
  <c r="H147" i="8"/>
  <c r="G178" i="8"/>
  <c r="I398" i="8"/>
  <c r="I18" i="8"/>
  <c r="G19" i="8"/>
  <c r="F62" i="8"/>
  <c r="H415" i="8"/>
  <c r="H35" i="8"/>
  <c r="I39" i="8"/>
  <c r="I34" i="8"/>
  <c r="H342" i="8"/>
  <c r="H112" i="8"/>
  <c r="H417" i="8"/>
  <c r="G342" i="8"/>
  <c r="E20" i="8"/>
  <c r="H19" i="8"/>
  <c r="G412" i="8"/>
  <c r="H153" i="8"/>
  <c r="G153" i="8"/>
  <c r="DQ57" i="2"/>
  <c r="G366" i="8"/>
  <c r="I366" i="8" s="1"/>
  <c r="H366" i="8"/>
  <c r="H32" i="8"/>
  <c r="BO37" i="6"/>
  <c r="AP29" i="1"/>
  <c r="I19" i="11"/>
  <c r="H329" i="8"/>
  <c r="G330" i="8"/>
  <c r="I330" i="8" s="1"/>
  <c r="F20" i="8"/>
  <c r="E152" i="8"/>
  <c r="H150" i="8"/>
  <c r="H178" i="8"/>
  <c r="G40" i="8"/>
  <c r="G35" i="8" s="1"/>
  <c r="H40" i="8"/>
  <c r="G106" i="8"/>
  <c r="I106" i="8" s="1"/>
  <c r="H104" i="8"/>
  <c r="I351" i="8"/>
  <c r="G44" i="8"/>
  <c r="I44" i="8" s="1"/>
  <c r="H44" i="8"/>
  <c r="H399" i="8"/>
  <c r="H210" i="8"/>
  <c r="AM36" i="1"/>
  <c r="H356" i="8"/>
  <c r="H354" i="8"/>
  <c r="G170" i="8"/>
  <c r="G354" i="8"/>
  <c r="AI36" i="1"/>
  <c r="G327" i="8"/>
  <c r="I326" i="8"/>
  <c r="I415" i="8"/>
  <c r="I417" i="8"/>
  <c r="G263" i="8"/>
  <c r="H263" i="8"/>
  <c r="G275" i="8"/>
  <c r="I275" i="8" s="1"/>
  <c r="H275" i="8"/>
  <c r="E49" i="2"/>
  <c r="H82" i="8"/>
  <c r="H327" i="8"/>
  <c r="AO29" i="1"/>
  <c r="H353" i="8"/>
  <c r="G353" i="8"/>
  <c r="I353" i="8" s="1"/>
  <c r="I11" i="11"/>
  <c r="H359" i="8"/>
  <c r="G359" i="8"/>
  <c r="I359" i="8" s="1"/>
  <c r="L11" i="1"/>
  <c r="I17" i="8"/>
  <c r="I233" i="8"/>
  <c r="G234" i="8"/>
  <c r="F497" i="8" l="1"/>
  <c r="I321" i="8"/>
  <c r="G323" i="8"/>
  <c r="G223" i="8"/>
  <c r="G76" i="8"/>
  <c r="G78" i="8" s="1"/>
  <c r="E41" i="17"/>
  <c r="I15" i="16"/>
  <c r="GG36" i="17"/>
  <c r="C11" i="17"/>
  <c r="I234" i="8"/>
  <c r="H37" i="8"/>
  <c r="I104" i="8"/>
  <c r="I171" i="8"/>
  <c r="H223" i="8"/>
  <c r="I231" i="8"/>
  <c r="H344" i="8"/>
  <c r="I342" i="8"/>
  <c r="G344" i="8"/>
  <c r="I109" i="8"/>
  <c r="H273" i="8"/>
  <c r="H174" i="8"/>
  <c r="I210" i="8"/>
  <c r="G211" i="8"/>
  <c r="H206" i="8"/>
  <c r="G156" i="8"/>
  <c r="I399" i="8"/>
  <c r="H156" i="8"/>
  <c r="G413" i="8"/>
  <c r="H77" i="1"/>
  <c r="AO36" i="1"/>
  <c r="H75" i="1"/>
  <c r="C75" i="1" s="1"/>
  <c r="I323" i="8"/>
  <c r="H414" i="8"/>
  <c r="I273" i="8"/>
  <c r="G174" i="8"/>
  <c r="H323" i="8"/>
  <c r="H385" i="8"/>
  <c r="I170" i="8"/>
  <c r="H170" i="8"/>
  <c r="I147" i="8"/>
  <c r="H41" i="8"/>
  <c r="H36" i="8"/>
  <c r="I263" i="8"/>
  <c r="H158" i="8"/>
  <c r="I153" i="8"/>
  <c r="I178" i="8"/>
  <c r="I412" i="8"/>
  <c r="G20" i="8"/>
  <c r="I19" i="8"/>
  <c r="H65" i="8"/>
  <c r="G41" i="8"/>
  <c r="I40" i="8"/>
  <c r="I35" i="8"/>
  <c r="H20" i="8"/>
  <c r="G155" i="8"/>
  <c r="H155" i="8"/>
  <c r="G367" i="8"/>
  <c r="H211" i="8"/>
  <c r="G152" i="8"/>
  <c r="I152" i="8" s="1"/>
  <c r="H152" i="8"/>
  <c r="H330" i="8"/>
  <c r="H106" i="8"/>
  <c r="G356" i="8"/>
  <c r="I354" i="8"/>
  <c r="G355" i="8"/>
  <c r="I355" i="8" s="1"/>
  <c r="I327" i="8"/>
  <c r="H365" i="8"/>
  <c r="G365" i="8"/>
  <c r="I365" i="8" s="1"/>
  <c r="H276" i="8"/>
  <c r="G276" i="8"/>
  <c r="I276" i="8" s="1"/>
  <c r="G264" i="8"/>
  <c r="H264" i="8"/>
  <c r="H368" i="8"/>
  <c r="G368" i="8"/>
  <c r="I8" i="11"/>
  <c r="G362" i="8"/>
  <c r="I362" i="8" s="1"/>
  <c r="H362" i="8"/>
  <c r="G11" i="16" l="1"/>
  <c r="G15" i="16"/>
  <c r="I356" i="8"/>
  <c r="G36" i="8"/>
  <c r="G37" i="8" s="1"/>
  <c r="I37" i="8" s="1"/>
  <c r="I156" i="8"/>
  <c r="G158" i="8"/>
  <c r="I223" i="8"/>
  <c r="I344" i="8"/>
  <c r="H175" i="8"/>
  <c r="I211" i="8"/>
  <c r="I385" i="8"/>
  <c r="I413" i="8"/>
  <c r="H387" i="8"/>
  <c r="G175" i="8"/>
  <c r="I414" i="8"/>
  <c r="I174" i="8"/>
  <c r="I367" i="8"/>
  <c r="I368" i="8"/>
  <c r="H171" i="8"/>
  <c r="I264" i="8"/>
  <c r="I155" i="8"/>
  <c r="I20" i="8"/>
  <c r="I65" i="8"/>
  <c r="I41" i="8"/>
  <c r="G21" i="16" l="1"/>
  <c r="I21" i="16"/>
  <c r="I36" i="8"/>
  <c r="I158" i="8"/>
  <c r="I175" i="8"/>
  <c r="I387" i="8"/>
  <c r="F520" i="8"/>
  <c r="H26" i="4" l="1"/>
  <c r="N36" i="3" s="1"/>
  <c r="C26" i="4" l="1"/>
  <c r="K26" i="4"/>
  <c r="I26" i="4"/>
  <c r="O36" i="3" s="1"/>
  <c r="C36" i="3" s="1"/>
  <c r="J26" i="4"/>
  <c r="N38" i="3"/>
  <c r="E378" i="8" s="1"/>
  <c r="C38" i="3" l="1"/>
  <c r="O38" i="3"/>
  <c r="F378" i="8" s="1"/>
  <c r="E379" i="8"/>
  <c r="G378" i="8"/>
  <c r="E26" i="4" l="1"/>
  <c r="O40" i="3"/>
  <c r="F379" i="8"/>
  <c r="H378" i="8"/>
  <c r="G379" i="8"/>
  <c r="I378" i="8"/>
  <c r="AR54" i="1" l="1"/>
  <c r="G380" i="8"/>
  <c r="H379" i="8"/>
  <c r="I379" i="8"/>
  <c r="I380" i="8" l="1"/>
  <c r="H380" i="8"/>
  <c r="AH8" i="4" l="1"/>
  <c r="D8" i="4" s="1"/>
  <c r="AF26" i="4"/>
  <c r="Z36" i="3" s="1"/>
  <c r="QW12" i="2" l="1"/>
  <c r="AH26" i="4"/>
  <c r="AB38" i="3" s="1"/>
  <c r="E143" i="8" s="1"/>
  <c r="E145" i="8" l="1"/>
  <c r="G143" i="8"/>
  <c r="H143" i="8"/>
  <c r="H440" i="8"/>
  <c r="G145" i="8" l="1"/>
  <c r="H14" i="16"/>
  <c r="J14" i="16" s="1"/>
  <c r="H136" i="8"/>
  <c r="H76" i="8"/>
  <c r="H144" i="8"/>
  <c r="I143" i="8"/>
  <c r="H442" i="8"/>
  <c r="I440" i="8"/>
  <c r="H441" i="8"/>
  <c r="I136" i="8" l="1"/>
  <c r="H457" i="8"/>
  <c r="I76" i="8"/>
  <c r="H77" i="8"/>
  <c r="I144" i="8"/>
  <c r="H145" i="8"/>
  <c r="I441" i="8"/>
  <c r="I442" i="8"/>
  <c r="H78" i="8" l="1"/>
  <c r="I77" i="8"/>
  <c r="I145" i="8"/>
  <c r="I78" i="8" l="1"/>
  <c r="D318" i="8"/>
  <c r="G319" i="8"/>
  <c r="G318" i="8" l="1"/>
  <c r="D531" i="8"/>
  <c r="G532" i="8"/>
  <c r="I532" i="8" s="1"/>
  <c r="I319" i="8"/>
  <c r="G531" i="8" l="1"/>
  <c r="I531" i="8" s="1"/>
  <c r="I318" i="8"/>
  <c r="AJ34" i="2" l="1"/>
  <c r="AJ44" i="2" s="1"/>
  <c r="AH32" i="1"/>
  <c r="C32" i="2"/>
  <c r="AH31" i="1"/>
  <c r="AN31" i="1" l="1"/>
  <c r="AH33" i="1"/>
  <c r="AN32" i="1"/>
  <c r="AF31" i="1"/>
  <c r="AL31" i="1" l="1"/>
  <c r="AN33" i="1"/>
  <c r="E71" i="1" l="1"/>
  <c r="E55" i="2" l="1"/>
  <c r="E73" i="1" s="1"/>
  <c r="BD57" i="2" l="1"/>
  <c r="BD61" i="2"/>
  <c r="I295" i="8" l="1"/>
  <c r="I294" i="8"/>
  <c r="I296" i="8"/>
  <c r="G34" i="11" l="1"/>
  <c r="H34" i="11"/>
  <c r="I34" i="11" l="1"/>
  <c r="H35" i="11" l="1"/>
  <c r="G35" i="11"/>
  <c r="G32" i="11" l="1"/>
  <c r="I35" i="11"/>
  <c r="H32" i="11" l="1"/>
  <c r="I32" i="11" l="1"/>
  <c r="G73" i="8" l="1"/>
  <c r="I73" i="8" l="1"/>
  <c r="T26" i="3" l="1"/>
  <c r="T33" i="3" s="1"/>
  <c r="T38" i="3" s="1"/>
  <c r="AM38" i="2" s="1"/>
  <c r="E529" i="8" s="1"/>
  <c r="J311" i="8" l="1"/>
  <c r="J312" i="8" s="1"/>
  <c r="D315" i="8"/>
  <c r="G314" i="8"/>
  <c r="D502" i="8" l="1"/>
  <c r="D505" i="8" s="1"/>
  <c r="D302" i="8"/>
  <c r="G315" i="8"/>
  <c r="I314" i="8"/>
  <c r="D303" i="8" l="1"/>
  <c r="D506" i="8"/>
  <c r="D511" i="8"/>
  <c r="I315" i="8"/>
  <c r="G457" i="8" l="1"/>
  <c r="D456" i="8"/>
  <c r="D449" i="8" s="1"/>
  <c r="D450" i="8" l="1"/>
  <c r="D482" i="8" s="1"/>
  <c r="D489" i="8" s="1"/>
  <c r="D481" i="8"/>
  <c r="D487" i="8" s="1"/>
  <c r="I457" i="8"/>
  <c r="C22" i="16" l="1"/>
  <c r="B16" i="15"/>
  <c r="D484" i="8"/>
  <c r="B15" i="15"/>
  <c r="C14" i="2" l="1"/>
  <c r="AF13" i="1" s="1"/>
  <c r="OL37" i="2"/>
  <c r="C15" i="2"/>
  <c r="AF14" i="1" s="1"/>
  <c r="AH28" i="1"/>
  <c r="C22" i="2"/>
  <c r="AF21" i="1" s="1"/>
  <c r="C23" i="2"/>
  <c r="AF22" i="1" s="1"/>
  <c r="AH22" i="1"/>
  <c r="AH13" i="1"/>
  <c r="C24" i="2"/>
  <c r="AF23" i="1" s="1"/>
  <c r="AH23" i="1"/>
  <c r="C21" i="2"/>
  <c r="AF20" i="1" s="1"/>
  <c r="AH20" i="1"/>
  <c r="AH25" i="1"/>
  <c r="AR22" i="1" l="1"/>
  <c r="AL22" i="1" s="1"/>
  <c r="AR25" i="1"/>
  <c r="AR24" i="1"/>
  <c r="AN20" i="1"/>
  <c r="AN13" i="1"/>
  <c r="AN25" i="1"/>
  <c r="C25" i="2"/>
  <c r="AF24" i="1" s="1"/>
  <c r="AH24" i="1"/>
  <c r="AR14" i="1"/>
  <c r="AL14" i="1" s="1"/>
  <c r="C26" i="2"/>
  <c r="AF25" i="1" s="1"/>
  <c r="AR28" i="1"/>
  <c r="AR20" i="1"/>
  <c r="AL20" i="1" s="1"/>
  <c r="AN22" i="1"/>
  <c r="AH21" i="1"/>
  <c r="AR13" i="1"/>
  <c r="AN28" i="1"/>
  <c r="AR21" i="1"/>
  <c r="AL21" i="1" s="1"/>
  <c r="AN23" i="1"/>
  <c r="C29" i="2"/>
  <c r="AF28" i="1" s="1"/>
  <c r="AH14" i="1"/>
  <c r="AR50" i="1"/>
  <c r="AR23" i="1"/>
  <c r="AL23" i="1" s="1"/>
  <c r="AL24" i="1" l="1"/>
  <c r="AL28" i="1"/>
  <c r="AL25" i="1"/>
  <c r="AL13" i="1"/>
  <c r="AN21" i="1"/>
  <c r="AN24" i="1"/>
  <c r="AN14" i="1"/>
  <c r="BD28" i="1" l="1"/>
  <c r="BD19" i="1"/>
  <c r="AZ20" i="1"/>
  <c r="AX20" i="1" s="1"/>
  <c r="BD13" i="1"/>
  <c r="BD25" i="1"/>
  <c r="AZ24" i="1"/>
  <c r="AX24" i="1" s="1"/>
  <c r="AZ22" i="1"/>
  <c r="AX22" i="1" s="1"/>
  <c r="BD21" i="1"/>
  <c r="BD17" i="1"/>
  <c r="BD14" i="1"/>
  <c r="BD23" i="1"/>
  <c r="BD27" i="1" l="1"/>
  <c r="BD16" i="1"/>
  <c r="BD26" i="1"/>
  <c r="AZ25" i="1"/>
  <c r="AX25" i="1" s="1"/>
  <c r="AZ13" i="1"/>
  <c r="AX13" i="1" s="1"/>
  <c r="BD11" i="1"/>
  <c r="BD20" i="1"/>
  <c r="BD24" i="1"/>
  <c r="BD22" i="1"/>
  <c r="AZ21" i="1"/>
  <c r="AX21" i="1" s="1"/>
  <c r="AZ28" i="1"/>
  <c r="AX28" i="1" s="1"/>
  <c r="AZ23" i="1"/>
  <c r="AX23" i="1" s="1"/>
  <c r="AZ14" i="1"/>
  <c r="AX14" i="1" s="1"/>
  <c r="OF16" i="2" l="1"/>
  <c r="MI20" i="2"/>
  <c r="MI18" i="2"/>
  <c r="MI16" i="2"/>
  <c r="MI12" i="2"/>
  <c r="MS20" i="2" l="1"/>
  <c r="MQ20" i="2" s="1"/>
  <c r="MG12" i="2"/>
  <c r="MG20" i="2"/>
  <c r="MG18" i="2"/>
  <c r="MG16" i="2"/>
  <c r="OE16" i="2"/>
  <c r="OE30" i="2" s="1"/>
  <c r="OE37" i="2" s="1"/>
  <c r="N50" i="1" s="1"/>
  <c r="AZ15" i="6"/>
  <c r="MS16" i="2"/>
  <c r="MQ16" i="2" s="1"/>
  <c r="OF30" i="2"/>
  <c r="OF37" i="2" s="1"/>
  <c r="E128" i="8" s="1"/>
  <c r="OT16" i="2"/>
  <c r="OS16" i="2" s="1"/>
  <c r="OS30" i="2" s="1"/>
  <c r="OS37" i="2" s="1"/>
  <c r="AZ19" i="6"/>
  <c r="D19" i="6" s="1"/>
  <c r="AZ11" i="6"/>
  <c r="MS12" i="2"/>
  <c r="MQ12" i="2" s="1"/>
  <c r="MI30" i="2"/>
  <c r="MI37" i="2" s="1"/>
  <c r="AZ17" i="6"/>
  <c r="MS18" i="2"/>
  <c r="MQ18" i="2" s="1"/>
  <c r="AI20" i="2" l="1"/>
  <c r="P19" i="1"/>
  <c r="MQ30" i="2"/>
  <c r="MQ37" i="2" s="1"/>
  <c r="HM10" i="17"/>
  <c r="HO10" i="17" s="1"/>
  <c r="AZ29" i="6"/>
  <c r="AZ36" i="6" s="1"/>
  <c r="HM14" i="17"/>
  <c r="HM16" i="17"/>
  <c r="MS30" i="2"/>
  <c r="MS37" i="2" s="1"/>
  <c r="OT30" i="2"/>
  <c r="OT37" i="2" s="1"/>
  <c r="E184" i="8"/>
  <c r="B32" i="7"/>
  <c r="E130" i="8"/>
  <c r="G128" i="8"/>
  <c r="H128" i="8"/>
  <c r="HM18" i="17"/>
  <c r="M18" i="17" s="1"/>
  <c r="B19" i="6"/>
  <c r="K18" i="17" l="1"/>
  <c r="HO18" i="17"/>
  <c r="O18" i="17" s="1"/>
  <c r="HO16" i="17"/>
  <c r="HO14" i="17"/>
  <c r="BD15" i="1"/>
  <c r="AH17" i="1"/>
  <c r="C18" i="2"/>
  <c r="AF17" i="1" s="1"/>
  <c r="AR17" i="1"/>
  <c r="AZ17" i="1"/>
  <c r="AX17" i="1" s="1"/>
  <c r="G130" i="8"/>
  <c r="H130" i="8"/>
  <c r="H18" i="16"/>
  <c r="J18" i="16" s="1"/>
  <c r="E185" i="8"/>
  <c r="E161" i="8" s="1"/>
  <c r="H184" i="8"/>
  <c r="G184" i="8"/>
  <c r="I128" i="8"/>
  <c r="D19" i="1"/>
  <c r="HM28" i="17"/>
  <c r="HM35" i="17" s="1"/>
  <c r="V19" i="1"/>
  <c r="H161" i="8" l="1"/>
  <c r="AN17" i="1"/>
  <c r="D18" i="17"/>
  <c r="B18" i="17" s="1"/>
  <c r="HO28" i="17"/>
  <c r="HO35" i="17" s="1"/>
  <c r="HM36" i="17" s="1"/>
  <c r="AL17" i="1"/>
  <c r="AR11" i="1"/>
  <c r="AZ11" i="1"/>
  <c r="C12" i="2"/>
  <c r="AH11" i="1"/>
  <c r="I130" i="8"/>
  <c r="I184" i="8"/>
  <c r="G185" i="8"/>
  <c r="G161" i="8" s="1"/>
  <c r="J19" i="1"/>
  <c r="H185" i="8"/>
  <c r="I161" i="8" l="1"/>
  <c r="AF11" i="1"/>
  <c r="AX11" i="1"/>
  <c r="AN11" i="1"/>
  <c r="I185" i="8"/>
  <c r="AL11" i="1" l="1"/>
  <c r="MG30" i="2" l="1"/>
  <c r="MG37" i="2" s="1"/>
  <c r="AR49" i="1"/>
  <c r="AH15" i="1"/>
  <c r="C16" i="2"/>
  <c r="AZ15" i="1"/>
  <c r="AR15" i="1"/>
  <c r="AN15" i="1" l="1"/>
  <c r="AF15" i="1"/>
  <c r="AX15" i="1"/>
  <c r="N49" i="1"/>
  <c r="AL15" i="1" l="1"/>
  <c r="G32" i="8" l="1"/>
  <c r="I32" i="8" l="1"/>
  <c r="QU27" i="2" l="1"/>
  <c r="QW27" i="2"/>
  <c r="QS27" i="2"/>
  <c r="E149" i="8" l="1"/>
  <c r="E138" i="8" s="1"/>
  <c r="H146" i="8"/>
  <c r="G146" i="8"/>
  <c r="E135" i="8"/>
  <c r="QS15" i="2"/>
  <c r="QU13" i="2"/>
  <c r="E137" i="8" l="1"/>
  <c r="H137" i="8" s="1"/>
  <c r="I146" i="8"/>
  <c r="G135" i="8"/>
  <c r="QW13" i="2"/>
  <c r="H135" i="8"/>
  <c r="H138" i="8"/>
  <c r="H149" i="8"/>
  <c r="G149" i="8"/>
  <c r="I149" i="8" l="1"/>
  <c r="G138" i="8"/>
  <c r="G137" i="8" s="1"/>
  <c r="I137" i="8" s="1"/>
  <c r="I135" i="8"/>
  <c r="I138" i="8" l="1"/>
  <c r="X23" i="5"/>
  <c r="X27" i="5"/>
  <c r="X26" i="5"/>
  <c r="X25" i="5"/>
  <c r="X24" i="5"/>
  <c r="X22" i="5"/>
  <c r="X21" i="5"/>
  <c r="X20" i="5"/>
  <c r="X19" i="5"/>
  <c r="X18" i="5"/>
  <c r="X17" i="5"/>
  <c r="X16" i="5"/>
  <c r="X15" i="5"/>
  <c r="X14" i="5"/>
  <c r="X13" i="5"/>
  <c r="X12" i="5"/>
  <c r="X11" i="5"/>
  <c r="X10" i="5"/>
  <c r="X9" i="5"/>
  <c r="X8" i="5"/>
  <c r="V27" i="5"/>
  <c r="V26" i="5"/>
  <c r="V25" i="5"/>
  <c r="V24" i="5"/>
  <c r="V23" i="5"/>
  <c r="V22" i="5"/>
  <c r="V21" i="5"/>
  <c r="V20" i="5"/>
  <c r="V19" i="5"/>
  <c r="V18" i="5"/>
  <c r="V17" i="5"/>
  <c r="V16" i="5"/>
  <c r="V15" i="5"/>
  <c r="V14" i="5"/>
  <c r="V13" i="5"/>
  <c r="V12" i="5"/>
  <c r="V11" i="5"/>
  <c r="V10" i="5"/>
  <c r="V9" i="5"/>
  <c r="V8" i="5"/>
  <c r="RY33" i="2"/>
  <c r="RY14" i="2"/>
  <c r="B8" i="5" l="1"/>
  <c r="B12" i="5"/>
  <c r="B16" i="5"/>
  <c r="B20" i="5"/>
  <c r="B25" i="5"/>
  <c r="B11" i="5"/>
  <c r="B15" i="5"/>
  <c r="B19" i="5"/>
  <c r="B24" i="5"/>
  <c r="RG28" i="2" s="1"/>
  <c r="RB28" i="2" s="1"/>
  <c r="RA28" i="2" s="1"/>
  <c r="B23" i="5"/>
  <c r="RG27" i="2" s="1"/>
  <c r="RB27" i="2" s="1"/>
  <c r="RA27" i="2" s="1"/>
  <c r="B10" i="5"/>
  <c r="B14" i="5"/>
  <c r="B18" i="5"/>
  <c r="RG22" i="2" s="1"/>
  <c r="RB22" i="2" s="1"/>
  <c r="RA22" i="2" s="1"/>
  <c r="B22" i="5"/>
  <c r="B27" i="5"/>
  <c r="B9" i="5"/>
  <c r="B13" i="5"/>
  <c r="RG17" i="2" s="1"/>
  <c r="RB17" i="2" s="1"/>
  <c r="RA17" i="2" s="1"/>
  <c r="B17" i="5"/>
  <c r="B21" i="5"/>
  <c r="B26" i="5"/>
  <c r="RG15" i="2"/>
  <c r="RB15" i="2" s="1"/>
  <c r="RA15" i="2" s="1"/>
  <c r="RG19" i="2"/>
  <c r="RB19" i="2" s="1"/>
  <c r="RA19" i="2" s="1"/>
  <c r="RG23" i="2"/>
  <c r="RB23" i="2" s="1"/>
  <c r="RA23" i="2" s="1"/>
  <c r="RG14" i="2"/>
  <c r="RB14" i="2" s="1"/>
  <c r="RG18" i="2"/>
  <c r="RB18" i="2" s="1"/>
  <c r="RA18" i="2" s="1"/>
  <c r="RG26" i="2"/>
  <c r="RB26" i="2" s="1"/>
  <c r="RA26" i="2" s="1"/>
  <c r="RG33" i="2"/>
  <c r="RB33" i="2" s="1"/>
  <c r="RG13" i="2"/>
  <c r="RB13" i="2" s="1"/>
  <c r="RA13" i="2" s="1"/>
  <c r="RG21" i="2"/>
  <c r="RB21" i="2" s="1"/>
  <c r="RA21" i="2" s="1"/>
  <c r="RG25" i="2"/>
  <c r="RB25" i="2" s="1"/>
  <c r="RA25" i="2" s="1"/>
  <c r="RG16" i="2"/>
  <c r="RB16" i="2" s="1"/>
  <c r="RA16" i="2" s="1"/>
  <c r="RG20" i="2"/>
  <c r="RB20" i="2" s="1"/>
  <c r="RA20" i="2" s="1"/>
  <c r="RG24" i="2"/>
  <c r="RB24" i="2" s="1"/>
  <c r="RA24" i="2" s="1"/>
  <c r="RG29" i="2"/>
  <c r="RB29" i="2" s="1"/>
  <c r="RA29" i="2" s="1"/>
  <c r="BZ13" i="6"/>
  <c r="RW14" i="2"/>
  <c r="RY30" i="2"/>
  <c r="RC14" i="2"/>
  <c r="RC30" i="2" s="1"/>
  <c r="V32" i="5"/>
  <c r="X32" i="5"/>
  <c r="V28" i="5"/>
  <c r="V31" i="5"/>
  <c r="X28" i="5"/>
  <c r="X31" i="5"/>
  <c r="BZ32" i="6"/>
  <c r="RW33" i="2"/>
  <c r="RY34" i="2"/>
  <c r="RC33" i="2"/>
  <c r="RC34" i="2" s="1"/>
  <c r="RC37" i="2" l="1"/>
  <c r="RA14" i="2"/>
  <c r="E13" i="1" s="1"/>
  <c r="RA33" i="2"/>
  <c r="E18" i="1"/>
  <c r="E19" i="1"/>
  <c r="RG32" i="2"/>
  <c r="B32" i="5"/>
  <c r="E12" i="1"/>
  <c r="E25" i="1"/>
  <c r="E17" i="1"/>
  <c r="BZ29" i="6"/>
  <c r="BN13" i="6"/>
  <c r="E27" i="1"/>
  <c r="E28" i="1"/>
  <c r="E20" i="1"/>
  <c r="RW30" i="2"/>
  <c r="E22" i="1"/>
  <c r="BZ33" i="6"/>
  <c r="BN32" i="6"/>
  <c r="E23" i="1"/>
  <c r="RG12" i="2"/>
  <c r="B31" i="5"/>
  <c r="B28" i="5"/>
  <c r="E24" i="1"/>
  <c r="E21" i="1"/>
  <c r="RY37" i="2"/>
  <c r="B45" i="7" s="1"/>
  <c r="B50" i="7" s="1"/>
  <c r="E26" i="1"/>
  <c r="E14" i="1"/>
  <c r="E15" i="1"/>
  <c r="E16" i="1"/>
  <c r="RW34" i="2"/>
  <c r="E32" i="1" l="1"/>
  <c r="K16" i="1"/>
  <c r="K14" i="1"/>
  <c r="CY32" i="6"/>
  <c r="BN33" i="6"/>
  <c r="CY33" i="6" s="1"/>
  <c r="K28" i="1"/>
  <c r="K25" i="1"/>
  <c r="RB32" i="2"/>
  <c r="RB34" i="2" s="1"/>
  <c r="RG34" i="2"/>
  <c r="K18" i="1"/>
  <c r="BZ36" i="6"/>
  <c r="K21" i="1"/>
  <c r="K24" i="1"/>
  <c r="K23" i="1"/>
  <c r="K22" i="1"/>
  <c r="CY13" i="6"/>
  <c r="BN29" i="6"/>
  <c r="K15" i="1"/>
  <c r="K26" i="1"/>
  <c r="K20" i="1"/>
  <c r="K27" i="1"/>
  <c r="K17" i="1"/>
  <c r="K12" i="1"/>
  <c r="K19" i="1"/>
  <c r="K13" i="1"/>
  <c r="RB12" i="2"/>
  <c r="RG30" i="2"/>
  <c r="RW37" i="2"/>
  <c r="K32" i="1" l="1"/>
  <c r="RG37" i="2"/>
  <c r="RA12" i="2"/>
  <c r="RB30" i="2"/>
  <c r="RB37" i="2" s="1"/>
  <c r="CY29" i="6"/>
  <c r="BN36" i="6"/>
  <c r="RA32" i="2"/>
  <c r="RA30" i="2" l="1"/>
  <c r="E11" i="1"/>
  <c r="BN37" i="6"/>
  <c r="CY36" i="6"/>
  <c r="RA34" i="2"/>
  <c r="RA44" i="2" s="1"/>
  <c r="E31" i="1"/>
  <c r="K31" i="1" l="1"/>
  <c r="K33" i="1" s="1"/>
  <c r="D75" i="1" s="1"/>
  <c r="E33" i="1"/>
  <c r="RA45" i="2"/>
  <c r="RA37" i="2"/>
  <c r="K11" i="1"/>
  <c r="E29" i="1"/>
  <c r="RA49" i="2" l="1"/>
  <c r="K29" i="1"/>
  <c r="E36" i="1"/>
  <c r="F75" i="1" l="1"/>
  <c r="B75" i="1" s="1"/>
  <c r="K36" i="1"/>
  <c r="H197" i="8" l="1"/>
  <c r="H196" i="8"/>
  <c r="I196" i="8" l="1"/>
  <c r="I197" i="8"/>
  <c r="H22" i="11" l="1"/>
  <c r="I22" i="11" l="1"/>
  <c r="AF28" i="3" l="1"/>
  <c r="BY33" i="2"/>
  <c r="LL27" i="2"/>
  <c r="BV33" i="2"/>
  <c r="B28" i="3" l="1"/>
  <c r="BY34" i="2"/>
  <c r="BY37" i="2" s="1"/>
  <c r="BY38" i="2" s="1"/>
  <c r="E72" i="8" s="1"/>
  <c r="LL12" i="2"/>
  <c r="BV34" i="2"/>
  <c r="BU55" i="2" s="1"/>
  <c r="BU33" i="2"/>
  <c r="BU34" i="2" s="1"/>
  <c r="LT27" i="2"/>
  <c r="LQ27" i="2" s="1"/>
  <c r="LI27" i="2"/>
  <c r="AF30" i="3"/>
  <c r="H72" i="8" l="1"/>
  <c r="E74" i="8"/>
  <c r="G72" i="8"/>
  <c r="I72" i="8" s="1"/>
  <c r="AF44" i="3"/>
  <c r="AF33" i="3"/>
  <c r="AF38" i="3" s="1"/>
  <c r="E66" i="8" s="1"/>
  <c r="LT12" i="2"/>
  <c r="LI12" i="2"/>
  <c r="QS32" i="2"/>
  <c r="B44" i="3" l="1"/>
  <c r="B42" i="3" s="1"/>
  <c r="LQ12" i="2"/>
  <c r="G66" i="8"/>
  <c r="I66" i="8" s="1"/>
  <c r="H66" i="8"/>
  <c r="E68" i="8"/>
  <c r="G74" i="8"/>
  <c r="I74" i="8" s="1"/>
  <c r="H17" i="16"/>
  <c r="J17" i="16" s="1"/>
  <c r="H74" i="8"/>
  <c r="H16" i="16" l="1"/>
  <c r="J16" i="16" s="1"/>
  <c r="H68" i="8"/>
  <c r="G68" i="8"/>
  <c r="I68" i="8" s="1"/>
  <c r="E8" i="9" l="1"/>
  <c r="D8" i="9" l="1"/>
  <c r="HX27" i="2"/>
  <c r="HY27" i="2"/>
  <c r="IG27" i="2" s="1"/>
  <c r="EU25" i="17" s="1"/>
  <c r="O25" i="17" s="1"/>
  <c r="D25" i="17" l="1"/>
  <c r="IF27" i="2"/>
  <c r="IE27" i="2" s="1"/>
  <c r="HW27" i="2"/>
  <c r="H47" i="11" l="1"/>
  <c r="I47" i="11"/>
  <c r="HY24" i="2" l="1"/>
  <c r="HS19" i="2"/>
  <c r="HY17" i="2"/>
  <c r="HX13" i="2"/>
  <c r="HY13" i="2"/>
  <c r="HX24" i="2" l="1"/>
  <c r="AL23" i="6"/>
  <c r="D23" i="6" s="1"/>
  <c r="IG24" i="2"/>
  <c r="EU22" i="17" s="1"/>
  <c r="O22" i="17" s="1"/>
  <c r="HX17" i="2"/>
  <c r="HW13" i="2"/>
  <c r="IF13" i="2"/>
  <c r="HR19" i="2"/>
  <c r="IG17" i="2"/>
  <c r="EU15" i="17" s="1"/>
  <c r="O15" i="17" s="1"/>
  <c r="AL16" i="6"/>
  <c r="D16" i="6" s="1"/>
  <c r="IG13" i="2"/>
  <c r="AL12" i="6"/>
  <c r="HV19" i="2"/>
  <c r="ET17" i="17"/>
  <c r="N17" i="17" s="1"/>
  <c r="BW17" i="2"/>
  <c r="LD33" i="2"/>
  <c r="AH29" i="3"/>
  <c r="AH22" i="3"/>
  <c r="AH18" i="3"/>
  <c r="AH9" i="3"/>
  <c r="HL32" i="2"/>
  <c r="B9" i="3" l="1"/>
  <c r="B22" i="3"/>
  <c r="QS26" i="2" s="1"/>
  <c r="D15" i="17"/>
  <c r="B15" i="17" s="1"/>
  <c r="D22" i="17"/>
  <c r="B22" i="17" s="1"/>
  <c r="BU17" i="2"/>
  <c r="EX17" i="17"/>
  <c r="R17" i="17" s="1"/>
  <c r="IE13" i="2"/>
  <c r="HW17" i="2"/>
  <c r="IF17" i="2"/>
  <c r="IE17" i="2" s="1"/>
  <c r="HW24" i="2"/>
  <c r="IF24" i="2"/>
  <c r="IE24" i="2" s="1"/>
  <c r="BW12" i="2"/>
  <c r="C17" i="17"/>
  <c r="EU11" i="17"/>
  <c r="HK32" i="2"/>
  <c r="HL34" i="2"/>
  <c r="HL37" i="2" s="1"/>
  <c r="E363" i="8" s="1"/>
  <c r="LD34" i="2"/>
  <c r="LD37" i="2" s="1"/>
  <c r="LA33" i="2"/>
  <c r="ES11" i="17"/>
  <c r="HU19" i="2"/>
  <c r="HQ19" i="2"/>
  <c r="B23" i="6"/>
  <c r="ES22" i="17"/>
  <c r="M22" i="17" s="1"/>
  <c r="AH30" i="3"/>
  <c r="B16" i="6"/>
  <c r="ES15" i="17"/>
  <c r="M15" i="17" s="1"/>
  <c r="HY16" i="2"/>
  <c r="P23" i="1" l="1"/>
  <c r="K15" i="17"/>
  <c r="QS13" i="2"/>
  <c r="HX16" i="2"/>
  <c r="HK34" i="2"/>
  <c r="BU12" i="2"/>
  <c r="K22" i="17"/>
  <c r="IG16" i="2"/>
  <c r="EU14" i="17" s="1"/>
  <c r="O14" i="17" s="1"/>
  <c r="AL15" i="6"/>
  <c r="HT19" i="2"/>
  <c r="E364" i="8"/>
  <c r="H364" i="8" s="1"/>
  <c r="G363" i="8"/>
  <c r="H363" i="8"/>
  <c r="ES14" i="17" l="1"/>
  <c r="D14" i="17"/>
  <c r="G364" i="8"/>
  <c r="I364" i="8" s="1"/>
  <c r="I363" i="8"/>
  <c r="IF16" i="2"/>
  <c r="IE16" i="2" s="1"/>
  <c r="HW16" i="2"/>
  <c r="HK55" i="2"/>
  <c r="HK37" i="2"/>
  <c r="HK53" i="2" s="1"/>
  <c r="G17" i="17"/>
  <c r="V23" i="1"/>
  <c r="HS27" i="2"/>
  <c r="HR27" i="2"/>
  <c r="HV27" i="2" l="1"/>
  <c r="IB27" i="2" s="1"/>
  <c r="IJ27" i="2" s="1"/>
  <c r="EY25" i="17" s="1"/>
  <c r="S25" i="17" s="1"/>
  <c r="ET25" i="17"/>
  <c r="N25" i="17" s="1"/>
  <c r="AL26" i="6"/>
  <c r="D26" i="6" s="1"/>
  <c r="HS30" i="2"/>
  <c r="HS37" i="2" s="1"/>
  <c r="HU27" i="2"/>
  <c r="IA27" i="2" s="1"/>
  <c r="HQ27" i="2"/>
  <c r="HR30" i="2"/>
  <c r="HR37" i="2" s="1"/>
  <c r="HK57" i="2"/>
  <c r="Z29" i="3"/>
  <c r="H25" i="17" l="1"/>
  <c r="II27" i="2"/>
  <c r="IH27" i="2" s="1"/>
  <c r="HZ27" i="2"/>
  <c r="AT26" i="1" s="1"/>
  <c r="B29" i="3"/>
  <c r="HQ30" i="2"/>
  <c r="C25" i="17"/>
  <c r="B25" i="17" s="1"/>
  <c r="ET28" i="17"/>
  <c r="ET35" i="17" s="1"/>
  <c r="B26" i="6"/>
  <c r="ES25" i="17"/>
  <c r="M25" i="17" s="1"/>
  <c r="Z30" i="3"/>
  <c r="Z18" i="3"/>
  <c r="HT27" i="2"/>
  <c r="HU30" i="2"/>
  <c r="HU37" i="2" s="1"/>
  <c r="EX25" i="17"/>
  <c r="AM26" i="6"/>
  <c r="E26" i="6" s="1"/>
  <c r="HV30" i="2"/>
  <c r="HV37" i="2" s="1"/>
  <c r="CG27" i="2"/>
  <c r="CG22" i="2"/>
  <c r="CG14" i="2"/>
  <c r="CE14" i="2" s="1"/>
  <c r="CG13" i="2"/>
  <c r="BW28" i="2"/>
  <c r="BW18" i="2"/>
  <c r="R25" i="17" l="1"/>
  <c r="R28" i="17" s="1"/>
  <c r="R35" i="17" s="1"/>
  <c r="AJ27" i="2"/>
  <c r="AZ26" i="1"/>
  <c r="AX26" i="1" s="1"/>
  <c r="AR26" i="1"/>
  <c r="K25" i="17"/>
  <c r="CQ14" i="2"/>
  <c r="EX28" i="17"/>
  <c r="EX35" i="17" s="1"/>
  <c r="BW16" i="2"/>
  <c r="BW24" i="2"/>
  <c r="CE13" i="2"/>
  <c r="CG30" i="2"/>
  <c r="CG37" i="2" s="1"/>
  <c r="C26" i="6"/>
  <c r="EW25" i="17"/>
  <c r="Q25" i="17" s="1"/>
  <c r="BU18" i="2"/>
  <c r="BW26" i="2"/>
  <c r="QS33" i="2"/>
  <c r="B30" i="3"/>
  <c r="BW15" i="2"/>
  <c r="BW21" i="2"/>
  <c r="BW29" i="2"/>
  <c r="CE27" i="2"/>
  <c r="P26" i="1" s="1"/>
  <c r="HT30" i="2"/>
  <c r="Z26" i="3"/>
  <c r="Z33" i="3" s="1"/>
  <c r="Z38" i="3" s="1"/>
  <c r="E455" i="8" s="1"/>
  <c r="BW14" i="2"/>
  <c r="BW19" i="2"/>
  <c r="CE22" i="2"/>
  <c r="HQ37" i="2"/>
  <c r="HQ54" i="2"/>
  <c r="E456" i="8" l="1"/>
  <c r="E449" i="8" s="1"/>
  <c r="G455" i="8"/>
  <c r="I455" i="8" s="1"/>
  <c r="H455" i="8"/>
  <c r="CQ13" i="2"/>
  <c r="CE30" i="2"/>
  <c r="CE37" i="2" s="1"/>
  <c r="N42" i="1" s="1"/>
  <c r="G25" i="17"/>
  <c r="L25" i="17"/>
  <c r="BU19" i="2"/>
  <c r="C27" i="2"/>
  <c r="AF26" i="1" s="1"/>
  <c r="AL26" i="1" s="1"/>
  <c r="AH26" i="1"/>
  <c r="BU29" i="2"/>
  <c r="BU15" i="2"/>
  <c r="BU26" i="2"/>
  <c r="BU24" i="2"/>
  <c r="AI24" i="2" s="1"/>
  <c r="CQ22" i="2"/>
  <c r="CO22" i="2" s="1"/>
  <c r="BU14" i="2"/>
  <c r="BW30" i="2"/>
  <c r="BW37" i="2" s="1"/>
  <c r="BW38" i="2" s="1"/>
  <c r="E63" i="8" s="1"/>
  <c r="BU16" i="2"/>
  <c r="CO14" i="2"/>
  <c r="HT37" i="2"/>
  <c r="HT54" i="2"/>
  <c r="CQ27" i="2"/>
  <c r="AB26" i="1" s="1"/>
  <c r="BU21" i="2"/>
  <c r="QS34" i="2"/>
  <c r="D23" i="1" l="1"/>
  <c r="C54" i="2"/>
  <c r="E54" i="2" s="1"/>
  <c r="H73" i="1" s="1"/>
  <c r="V26" i="1"/>
  <c r="AN26" i="1"/>
  <c r="H449" i="8"/>
  <c r="G456" i="8"/>
  <c r="G449" i="8" s="1"/>
  <c r="H456" i="8"/>
  <c r="F25" i="17"/>
  <c r="G28" i="17"/>
  <c r="CO27" i="2"/>
  <c r="E64" i="8"/>
  <c r="E48" i="8" s="1"/>
  <c r="H63" i="8"/>
  <c r="G63" i="8"/>
  <c r="CO13" i="2"/>
  <c r="CQ30" i="2"/>
  <c r="CQ37" i="2" s="1"/>
  <c r="I63" i="8" l="1"/>
  <c r="J23" i="1"/>
  <c r="CO30" i="2"/>
  <c r="CO37" i="2" s="1"/>
  <c r="G41" i="17"/>
  <c r="G39" i="17"/>
  <c r="G35" i="17"/>
  <c r="H64" i="8"/>
  <c r="H48" i="8"/>
  <c r="G64" i="8"/>
  <c r="G48" i="8" s="1"/>
  <c r="I449" i="8"/>
  <c r="I456" i="8"/>
  <c r="I64" i="8" l="1"/>
  <c r="I48" i="8"/>
  <c r="FL33" i="2" l="1"/>
  <c r="FL34" i="2" l="1"/>
  <c r="IM19" i="2" l="1"/>
  <c r="HY19" i="2"/>
  <c r="IL19" i="2"/>
  <c r="IK19" i="2" l="1"/>
  <c r="AB18" i="1" s="1"/>
  <c r="IL30" i="2"/>
  <c r="IL37" i="2" s="1"/>
  <c r="IO19" i="2"/>
  <c r="IP19" i="2"/>
  <c r="IM30" i="2"/>
  <c r="IM37" i="2" s="1"/>
  <c r="EV17" i="17"/>
  <c r="P17" i="17" s="1"/>
  <c r="IG19" i="2"/>
  <c r="EU17" i="17" s="1"/>
  <c r="O17" i="17" s="1"/>
  <c r="AL18" i="6"/>
  <c r="D18" i="6" s="1"/>
  <c r="HX19" i="2"/>
  <c r="D17" i="17" l="1"/>
  <c r="IK30" i="2"/>
  <c r="IK37" i="2" s="1"/>
  <c r="HQ60" i="2" s="1"/>
  <c r="IO30" i="2"/>
  <c r="IO37" i="2" s="1"/>
  <c r="IN19" i="2"/>
  <c r="BF18" i="1" s="1"/>
  <c r="B18" i="6"/>
  <c r="ES17" i="17"/>
  <c r="M17" i="17" s="1"/>
  <c r="HW19" i="2"/>
  <c r="IF19" i="2"/>
  <c r="IE19" i="2" s="1"/>
  <c r="E17" i="17"/>
  <c r="EV28" i="17"/>
  <c r="EV35" i="17" s="1"/>
  <c r="EZ17" i="17"/>
  <c r="IP30" i="2"/>
  <c r="IP37" i="2" s="1"/>
  <c r="P18" i="1" l="1"/>
  <c r="T17" i="17"/>
  <c r="T28" i="17" s="1"/>
  <c r="T35" i="17" s="1"/>
  <c r="AI19" i="2"/>
  <c r="D18" i="1" s="1"/>
  <c r="B17" i="17"/>
  <c r="K17" i="17"/>
  <c r="EZ28" i="17"/>
  <c r="EZ35" i="17" s="1"/>
  <c r="IN30" i="2"/>
  <c r="IN37" i="2" s="1"/>
  <c r="BD18" i="1" l="1"/>
  <c r="V18" i="1"/>
  <c r="J18" i="1"/>
  <c r="I17" i="17"/>
  <c r="I28" i="17" s="1"/>
  <c r="HT60" i="2"/>
  <c r="C60" i="2" s="1"/>
  <c r="E60" i="2" s="1"/>
  <c r="J73" i="1" s="1"/>
  <c r="I41" i="17" l="1"/>
  <c r="I35" i="17"/>
  <c r="I39" i="17"/>
  <c r="AX25" i="4" l="1"/>
  <c r="BB25" i="4"/>
  <c r="F25" i="4" s="1"/>
  <c r="QY29" i="2" s="1"/>
  <c r="AB28" i="1" s="1"/>
  <c r="AX18" i="4"/>
  <c r="BB18" i="4"/>
  <c r="F18" i="4" s="1"/>
  <c r="QY22" i="2" s="1"/>
  <c r="AX10" i="4"/>
  <c r="BB10" i="4"/>
  <c r="F10" i="4" l="1"/>
  <c r="BB26" i="4"/>
  <c r="B18" i="4"/>
  <c r="QU22" i="2" s="1"/>
  <c r="AZ18" i="4"/>
  <c r="D18" i="4" s="1"/>
  <c r="QW22" i="2" s="1"/>
  <c r="AN25" i="3"/>
  <c r="AZ25" i="4"/>
  <c r="D25" i="4" s="1"/>
  <c r="QW29" i="2" s="1"/>
  <c r="B25" i="4"/>
  <c r="QU29" i="2" s="1"/>
  <c r="AN10" i="3"/>
  <c r="B10" i="3" s="1"/>
  <c r="AZ10" i="4"/>
  <c r="B10" i="4"/>
  <c r="AX26" i="4"/>
  <c r="AN36" i="3" s="1"/>
  <c r="B36" i="3" s="1"/>
  <c r="AN18" i="3"/>
  <c r="B25" i="3" l="1"/>
  <c r="QS29" i="2" s="1"/>
  <c r="B18" i="3"/>
  <c r="QS22" i="2" s="1"/>
  <c r="D10" i="4"/>
  <c r="AZ26" i="4"/>
  <c r="QY14" i="2"/>
  <c r="F26" i="4"/>
  <c r="QU14" i="2"/>
  <c r="QU30" i="2" s="1"/>
  <c r="QU37" i="2" s="1"/>
  <c r="B26" i="4"/>
  <c r="AN26" i="3"/>
  <c r="AN33" i="3" s="1"/>
  <c r="AN38" i="3" s="1"/>
  <c r="E30" i="8" s="1"/>
  <c r="N54" i="1" l="1"/>
  <c r="QY30" i="2"/>
  <c r="QY37" i="2" s="1"/>
  <c r="QS14" i="2"/>
  <c r="H30" i="8"/>
  <c r="E31" i="8"/>
  <c r="G30" i="8"/>
  <c r="QW14" i="2"/>
  <c r="QW30" i="2" s="1"/>
  <c r="QW37" i="2" s="1"/>
  <c r="D26" i="4"/>
  <c r="H31" i="8" l="1"/>
  <c r="G31" i="8"/>
  <c r="I30" i="8"/>
  <c r="I31" i="8" l="1"/>
  <c r="LC32" i="2" l="1"/>
  <c r="LB32" i="2"/>
  <c r="LC34" i="2" l="1"/>
  <c r="LC37" i="2" s="1"/>
  <c r="LC38" i="2" s="1"/>
  <c r="AX31" i="6"/>
  <c r="LA32" i="2"/>
  <c r="LA34" i="2" s="1"/>
  <c r="LA37" i="2" s="1"/>
  <c r="LB34" i="2"/>
  <c r="LB37" i="2" s="1"/>
  <c r="LB38" i="2" s="1"/>
  <c r="E169" i="8" s="1"/>
  <c r="GW30" i="17" l="1"/>
  <c r="AX33" i="6"/>
  <c r="AX36" i="6" s="1"/>
  <c r="E173" i="8"/>
  <c r="B30" i="7"/>
  <c r="E172" i="8"/>
  <c r="G169" i="8"/>
  <c r="H169" i="8"/>
  <c r="I169" i="8" l="1"/>
  <c r="GX30" i="17"/>
  <c r="GX32" i="17" s="1"/>
  <c r="GX35" i="17" s="1"/>
  <c r="GW32" i="17"/>
  <c r="GW35" i="17" s="1"/>
  <c r="E176" i="8"/>
  <c r="H173" i="8"/>
  <c r="G173" i="8"/>
  <c r="I173" i="8" s="1"/>
  <c r="G172" i="8"/>
  <c r="H172" i="8"/>
  <c r="CS18" i="2"/>
  <c r="DA33" i="2"/>
  <c r="DA32" i="2"/>
  <c r="DA18" i="2"/>
  <c r="AH24" i="3"/>
  <c r="AH14" i="3"/>
  <c r="FS33" i="2"/>
  <c r="FR33" i="2"/>
  <c r="CY22" i="2"/>
  <c r="CY13" i="2"/>
  <c r="CU22" i="2"/>
  <c r="CU14" i="2"/>
  <c r="CU13" i="2"/>
  <c r="DG22" i="2"/>
  <c r="DG13" i="2"/>
  <c r="DC22" i="2"/>
  <c r="DC14" i="2"/>
  <c r="DC13" i="2"/>
  <c r="FY14" i="2"/>
  <c r="FX14" i="2"/>
  <c r="MB13" i="2"/>
  <c r="LL29" i="2"/>
  <c r="LL26" i="2"/>
  <c r="LL13" i="2"/>
  <c r="FM33" i="2"/>
  <c r="I172" i="8" l="1"/>
  <c r="K169" i="8"/>
  <c r="AB21" i="1"/>
  <c r="B24" i="3"/>
  <c r="B14" i="3"/>
  <c r="DG30" i="2"/>
  <c r="DG37" i="2" s="1"/>
  <c r="DA60" i="2" s="1"/>
  <c r="LT29" i="2"/>
  <c r="LQ29" i="2" s="1"/>
  <c r="LI29" i="2"/>
  <c r="FY30" i="2"/>
  <c r="FY37" i="2" s="1"/>
  <c r="AB13" i="6"/>
  <c r="DE22" i="2"/>
  <c r="CW13" i="2"/>
  <c r="CU30" i="2"/>
  <c r="CU37" i="2" s="1"/>
  <c r="F12" i="6"/>
  <c r="D12" i="6" s="1"/>
  <c r="AF20" i="17"/>
  <c r="P20" i="17" s="1"/>
  <c r="AH26" i="3"/>
  <c r="AH33" i="3" s="1"/>
  <c r="AH38" i="3" s="1"/>
  <c r="E209" i="8" s="1"/>
  <c r="H176" i="8"/>
  <c r="G176" i="8"/>
  <c r="I176" i="8" s="1"/>
  <c r="MB30" i="2"/>
  <c r="MB37" i="2" s="1"/>
  <c r="LY13" i="2"/>
  <c r="LY30" i="2" s="1"/>
  <c r="LY37" i="2" s="1"/>
  <c r="LL15" i="2"/>
  <c r="LL28" i="2"/>
  <c r="DE14" i="2"/>
  <c r="AF11" i="17"/>
  <c r="P11" i="17" s="1"/>
  <c r="CY30" i="2"/>
  <c r="CY37" i="2" s="1"/>
  <c r="AB32" i="6"/>
  <c r="FS34" i="2"/>
  <c r="FS37" i="2" s="1"/>
  <c r="DA34" i="2"/>
  <c r="DA55" i="2" s="1"/>
  <c r="CS32" i="2"/>
  <c r="LT13" i="2"/>
  <c r="LI13" i="2"/>
  <c r="P12" i="1" s="1"/>
  <c r="Z32" i="6"/>
  <c r="FM34" i="2"/>
  <c r="FM37" i="2" s="1"/>
  <c r="FK33" i="2"/>
  <c r="LI26" i="2"/>
  <c r="LT26" i="2"/>
  <c r="LQ26" i="2" s="1"/>
  <c r="FX30" i="2"/>
  <c r="FX37" i="2" s="1"/>
  <c r="FW14" i="2"/>
  <c r="DE13" i="2"/>
  <c r="DC30" i="2"/>
  <c r="DC37" i="2" s="1"/>
  <c r="F21" i="6"/>
  <c r="AC20" i="17" s="1"/>
  <c r="CW22" i="2"/>
  <c r="AE20" i="17" s="1"/>
  <c r="FQ33" i="2"/>
  <c r="FR34" i="2"/>
  <c r="FR37" i="2" s="1"/>
  <c r="DA30" i="2"/>
  <c r="CS33" i="2"/>
  <c r="LL17" i="2"/>
  <c r="F13" i="6"/>
  <c r="AC12" i="17" s="1"/>
  <c r="CW14" i="2"/>
  <c r="AE12" i="17" s="1"/>
  <c r="QS28" i="2"/>
  <c r="AD16" i="17"/>
  <c r="N16" i="17" s="1"/>
  <c r="CS30" i="2"/>
  <c r="F17" i="6"/>
  <c r="GW36" i="17"/>
  <c r="AB12" i="1" l="1"/>
  <c r="AI32" i="2"/>
  <c r="AF33" i="6"/>
  <c r="DE30" i="2"/>
  <c r="DE37" i="2" s="1"/>
  <c r="DA59" i="2" s="1"/>
  <c r="MF13" i="2"/>
  <c r="MC13" i="2" s="1"/>
  <c r="BF12" i="1" s="1"/>
  <c r="E20" i="17"/>
  <c r="AC16" i="17"/>
  <c r="FS38" i="2"/>
  <c r="B29" i="7" s="1"/>
  <c r="FR38" i="2"/>
  <c r="E213" i="8" s="1"/>
  <c r="H213" i="8" s="1"/>
  <c r="C16" i="17"/>
  <c r="AD28" i="17"/>
  <c r="CS54" i="2"/>
  <c r="F32" i="6"/>
  <c r="D32" i="6" s="1"/>
  <c r="FQ34" i="2"/>
  <c r="FQ37" i="2" s="1"/>
  <c r="DE31" i="17"/>
  <c r="Z33" i="6"/>
  <c r="Z36" i="6" s="1"/>
  <c r="LI15" i="2"/>
  <c r="LT15" i="2"/>
  <c r="LQ15" i="2" s="1"/>
  <c r="N44" i="1"/>
  <c r="CS56" i="2"/>
  <c r="DM12" i="17"/>
  <c r="AB29" i="6"/>
  <c r="DA56" i="2"/>
  <c r="N45" i="1"/>
  <c r="E240" i="8"/>
  <c r="B17" i="7"/>
  <c r="LP30" i="2"/>
  <c r="LP37" i="2" s="1"/>
  <c r="LH38" i="2" s="1"/>
  <c r="LM13" i="2"/>
  <c r="F31" i="6"/>
  <c r="D31" i="6" s="1"/>
  <c r="CS34" i="2"/>
  <c r="CS55" i="2" s="1"/>
  <c r="DM31" i="17"/>
  <c r="AB33" i="6"/>
  <c r="QS18" i="2"/>
  <c r="B26" i="3"/>
  <c r="B33" i="3" s="1"/>
  <c r="B38" i="3" s="1"/>
  <c r="B12" i="6"/>
  <c r="AC11" i="17"/>
  <c r="M11" i="17" s="1"/>
  <c r="F29" i="6"/>
  <c r="LT17" i="2"/>
  <c r="LQ17" i="2" s="1"/>
  <c r="LI17" i="2"/>
  <c r="P16" i="1" s="1"/>
  <c r="DA37" i="2"/>
  <c r="DA38" i="2" s="1"/>
  <c r="DA54" i="2"/>
  <c r="FK34" i="2"/>
  <c r="AF28" i="17"/>
  <c r="AF35" i="17" s="1"/>
  <c r="LI28" i="2"/>
  <c r="LT28" i="2"/>
  <c r="LQ28" i="2" s="1"/>
  <c r="GE14" i="2"/>
  <c r="AB13" i="1" s="1"/>
  <c r="FW30" i="2"/>
  <c r="FW37" i="2" s="1"/>
  <c r="N51" i="1" s="1"/>
  <c r="LQ13" i="2"/>
  <c r="CS60" i="2"/>
  <c r="B60" i="2" s="1"/>
  <c r="D60" i="2" s="1"/>
  <c r="I73" i="1" s="1"/>
  <c r="G209" i="8"/>
  <c r="E212" i="8"/>
  <c r="H212" i="8" s="1"/>
  <c r="H209" i="8"/>
  <c r="CW30" i="2"/>
  <c r="CW37" i="2" s="1"/>
  <c r="CS59" i="2" s="1"/>
  <c r="AE11" i="17"/>
  <c r="O11" i="17" s="1"/>
  <c r="LL30" i="2"/>
  <c r="LL37" i="2" s="1"/>
  <c r="LD38" i="2" s="1"/>
  <c r="E177" i="8" s="1"/>
  <c r="AI15" i="2" l="1"/>
  <c r="D14" i="1" s="1"/>
  <c r="P14" i="1"/>
  <c r="LX13" i="2"/>
  <c r="LX30" i="2" s="1"/>
  <c r="LX37" i="2" s="1"/>
  <c r="DA61" i="2"/>
  <c r="MF30" i="2"/>
  <c r="MF37" i="2" s="1"/>
  <c r="MC30" i="2"/>
  <c r="MC37" i="2" s="1"/>
  <c r="AJ47" i="2" s="1"/>
  <c r="C47" i="2" s="1"/>
  <c r="QS30" i="2"/>
  <c r="QS37" i="2" s="1"/>
  <c r="QS38" i="2" s="1"/>
  <c r="B55" i="2"/>
  <c r="D55" i="2" s="1"/>
  <c r="D73" i="1" s="1"/>
  <c r="G213" i="8"/>
  <c r="I213" i="8" s="1"/>
  <c r="E217" i="8"/>
  <c r="H217" i="8" s="1"/>
  <c r="E216" i="8"/>
  <c r="H216" i="8" s="1"/>
  <c r="LQ30" i="2"/>
  <c r="LQ37" i="2" s="1"/>
  <c r="LT30" i="2"/>
  <c r="LT37" i="2" s="1"/>
  <c r="K11" i="17"/>
  <c r="AC28" i="17"/>
  <c r="DP12" i="17"/>
  <c r="DM28" i="17"/>
  <c r="AC31" i="17"/>
  <c r="M31" i="17" s="1"/>
  <c r="LI30" i="2"/>
  <c r="LI37" i="2" s="1"/>
  <c r="IY21" i="2"/>
  <c r="D11" i="17"/>
  <c r="AE28" i="17"/>
  <c r="AE35" i="17" s="1"/>
  <c r="I209" i="8"/>
  <c r="G212" i="8"/>
  <c r="I212" i="8" s="1"/>
  <c r="GE30" i="2"/>
  <c r="GE37" i="2" s="1"/>
  <c r="AI47" i="2" s="1"/>
  <c r="AB29" i="1"/>
  <c r="AB36" i="1" s="1"/>
  <c r="LM30" i="2"/>
  <c r="LM37" i="2" s="1"/>
  <c r="H240" i="8"/>
  <c r="E243" i="8"/>
  <c r="G240" i="8"/>
  <c r="I240" i="8" s="1"/>
  <c r="DF31" i="17"/>
  <c r="DF32" i="17" s="1"/>
  <c r="DF35" i="17" s="1"/>
  <c r="DE32" i="17"/>
  <c r="DE35" i="17" s="1"/>
  <c r="AB36" i="6"/>
  <c r="E160" i="8"/>
  <c r="G177" i="8"/>
  <c r="E180" i="8"/>
  <c r="E11" i="17"/>
  <c r="DA53" i="2"/>
  <c r="DA57" i="2" s="1"/>
  <c r="E125" i="8"/>
  <c r="D31" i="1"/>
  <c r="DM32" i="17"/>
  <c r="DN31" i="17"/>
  <c r="DN32" i="17" s="1"/>
  <c r="DN35" i="17" s="1"/>
  <c r="AC30" i="17"/>
  <c r="M30" i="17" s="1"/>
  <c r="F33" i="6"/>
  <c r="F36" i="6" s="1"/>
  <c r="F177" i="8"/>
  <c r="LH42" i="2"/>
  <c r="CS61" i="2"/>
  <c r="V12" i="1"/>
  <c r="GC14" i="2"/>
  <c r="GC30" i="2" s="1"/>
  <c r="GC37" i="2" s="1"/>
  <c r="CS37" i="2"/>
  <c r="CS38" i="2" s="1"/>
  <c r="G180" i="8" l="1"/>
  <c r="E163" i="8"/>
  <c r="E162" i="8" s="1"/>
  <c r="LU13" i="2"/>
  <c r="LU30" i="2" s="1"/>
  <c r="LU37" i="2" s="1"/>
  <c r="IQ21" i="2"/>
  <c r="IQ30" i="2" s="1"/>
  <c r="IQ37" i="2" s="1"/>
  <c r="P12" i="17"/>
  <c r="P28" i="17" s="1"/>
  <c r="P35" i="17" s="1"/>
  <c r="V16" i="1"/>
  <c r="G216" i="8"/>
  <c r="I216" i="8" s="1"/>
  <c r="BD12" i="1"/>
  <c r="BD29" i="1" s="1"/>
  <c r="BD36" i="1" s="1"/>
  <c r="J64" i="1" s="1"/>
  <c r="BF29" i="1"/>
  <c r="BF36" i="1" s="1"/>
  <c r="AR48" i="1"/>
  <c r="N48" i="1"/>
  <c r="E204" i="8"/>
  <c r="G217" i="8"/>
  <c r="G219" i="8" s="1"/>
  <c r="G206" i="8" s="1"/>
  <c r="E220" i="8"/>
  <c r="B11" i="17"/>
  <c r="E122" i="8"/>
  <c r="B27" i="7"/>
  <c r="CS53" i="2"/>
  <c r="D33" i="6"/>
  <c r="B31" i="6"/>
  <c r="BV28" i="2"/>
  <c r="AC32" i="17"/>
  <c r="AC35" i="17" s="1"/>
  <c r="AD30" i="17"/>
  <c r="N30" i="17" s="1"/>
  <c r="G243" i="8"/>
  <c r="I243" i="8" s="1"/>
  <c r="H243" i="8"/>
  <c r="AB37" i="1"/>
  <c r="I71" i="1"/>
  <c r="V14" i="1"/>
  <c r="G125" i="8"/>
  <c r="I125" i="8" s="1"/>
  <c r="E127" i="8"/>
  <c r="H125" i="8"/>
  <c r="BV23" i="2"/>
  <c r="J31" i="1"/>
  <c r="G160" i="8"/>
  <c r="I177" i="8"/>
  <c r="IY30" i="2"/>
  <c r="IY37" i="2" s="1"/>
  <c r="AP20" i="6"/>
  <c r="K31" i="17"/>
  <c r="AD31" i="17"/>
  <c r="N31" i="17" s="1"/>
  <c r="DP28" i="17"/>
  <c r="DP35" i="17" s="1"/>
  <c r="DE36" i="17"/>
  <c r="J14" i="1"/>
  <c r="H177" i="8"/>
  <c r="F160" i="8"/>
  <c r="F180" i="8"/>
  <c r="DM35" i="17"/>
  <c r="H180" i="8" l="1"/>
  <c r="F163" i="8"/>
  <c r="F162" i="8" s="1"/>
  <c r="H162" i="8" s="1"/>
  <c r="I180" i="8"/>
  <c r="G163" i="8"/>
  <c r="G162" i="8" s="1"/>
  <c r="E207" i="8"/>
  <c r="H207" i="8" s="1"/>
  <c r="H220" i="8"/>
  <c r="E504" i="8"/>
  <c r="I217" i="8"/>
  <c r="N32" i="17"/>
  <c r="BF37" i="1"/>
  <c r="BD37" i="1" s="1"/>
  <c r="J71" i="1"/>
  <c r="J79" i="1" s="1"/>
  <c r="G204" i="8"/>
  <c r="H204" i="8"/>
  <c r="C31" i="17"/>
  <c r="B31" i="17" s="1"/>
  <c r="DM36" i="17"/>
  <c r="H127" i="8"/>
  <c r="H12" i="16"/>
  <c r="J12" i="16" s="1"/>
  <c r="G127" i="8"/>
  <c r="I127" i="8" s="1"/>
  <c r="BU28" i="2"/>
  <c r="G122" i="8"/>
  <c r="E114" i="8"/>
  <c r="E116" i="8" s="1"/>
  <c r="H122" i="8"/>
  <c r="E124" i="8"/>
  <c r="H160" i="8"/>
  <c r="F483" i="8"/>
  <c r="AD32" i="17"/>
  <c r="AD35" i="17" s="1"/>
  <c r="AC36" i="17" s="1"/>
  <c r="E308" i="8"/>
  <c r="B21" i="7"/>
  <c r="BV30" i="2"/>
  <c r="BU23" i="2"/>
  <c r="I219" i="8"/>
  <c r="I206" i="8"/>
  <c r="G220" i="8"/>
  <c r="G504" i="8" s="1"/>
  <c r="CS57" i="2"/>
  <c r="E12" i="17"/>
  <c r="E28" i="17" s="1"/>
  <c r="FI19" i="17"/>
  <c r="AP29" i="6"/>
  <c r="AP36" i="6" s="1"/>
  <c r="I163" i="8"/>
  <c r="I160" i="8"/>
  <c r="K30" i="17"/>
  <c r="M32" i="17"/>
  <c r="K32" i="17" s="1"/>
  <c r="I162" i="8" l="1"/>
  <c r="I204" i="8"/>
  <c r="G207" i="8"/>
  <c r="I207" i="8" s="1"/>
  <c r="H41" i="17"/>
  <c r="I220" i="8"/>
  <c r="BU30" i="2"/>
  <c r="BU37" i="2" s="1"/>
  <c r="BU38" i="2" s="1"/>
  <c r="H116" i="8"/>
  <c r="H11" i="16"/>
  <c r="J11" i="16" s="1"/>
  <c r="G124" i="8"/>
  <c r="H124" i="8"/>
  <c r="FI28" i="17"/>
  <c r="FI35" i="17" s="1"/>
  <c r="FJ19" i="17"/>
  <c r="N19" i="17" s="1"/>
  <c r="C30" i="17"/>
  <c r="G114" i="8"/>
  <c r="G116" i="8" s="1"/>
  <c r="I122" i="8"/>
  <c r="E301" i="8"/>
  <c r="H308" i="8"/>
  <c r="E309" i="8"/>
  <c r="E302" i="8" s="1"/>
  <c r="G308" i="8"/>
  <c r="H114" i="8"/>
  <c r="H39" i="17"/>
  <c r="E35" i="17"/>
  <c r="BU54" i="2"/>
  <c r="BV37" i="2"/>
  <c r="H163" i="8"/>
  <c r="H301" i="8" l="1"/>
  <c r="E303" i="8"/>
  <c r="H303" i="8" s="1"/>
  <c r="G309" i="8"/>
  <c r="G302" i="8" s="1"/>
  <c r="H309" i="8"/>
  <c r="H302" i="8"/>
  <c r="C32" i="17"/>
  <c r="D39" i="17" s="1"/>
  <c r="B30" i="17"/>
  <c r="B32" i="17" s="1"/>
  <c r="C19" i="17"/>
  <c r="FJ28" i="17"/>
  <c r="FJ35" i="17" s="1"/>
  <c r="FI36" i="17" s="1"/>
  <c r="G301" i="8"/>
  <c r="I308" i="8"/>
  <c r="I114" i="8"/>
  <c r="I124" i="8"/>
  <c r="I116" i="8"/>
  <c r="D17" i="15"/>
  <c r="F490" i="8"/>
  <c r="F491" i="8" s="1"/>
  <c r="BV38" i="2"/>
  <c r="E60" i="8" s="1"/>
  <c r="BU53" i="2"/>
  <c r="BU57" i="2" s="1"/>
  <c r="I301" i="8" l="1"/>
  <c r="G303" i="8"/>
  <c r="I303" i="8" s="1"/>
  <c r="D41" i="17"/>
  <c r="I309" i="8"/>
  <c r="I302" i="8"/>
  <c r="E62" i="8"/>
  <c r="H60" i="8"/>
  <c r="G60" i="8"/>
  <c r="E47" i="8"/>
  <c r="H47" i="8" l="1"/>
  <c r="E49" i="8"/>
  <c r="G62" i="8"/>
  <c r="I60" i="8"/>
  <c r="G47" i="8"/>
  <c r="H62" i="8"/>
  <c r="H15" i="16"/>
  <c r="J15" i="16" s="1"/>
  <c r="I47" i="8" l="1"/>
  <c r="G49" i="8"/>
  <c r="I62" i="8"/>
  <c r="H49" i="8"/>
  <c r="I49" i="8" l="1"/>
  <c r="HY22" i="2" l="1"/>
  <c r="HY14" i="2"/>
  <c r="AL13" i="6" l="1"/>
  <c r="D13" i="6" s="1"/>
  <c r="IG14" i="2"/>
  <c r="HY21" i="2"/>
  <c r="HY29" i="2"/>
  <c r="HX22" i="2"/>
  <c r="HY25" i="2"/>
  <c r="HY26" i="2"/>
  <c r="HX14" i="2"/>
  <c r="HY23" i="2"/>
  <c r="AL21" i="6"/>
  <c r="D21" i="6" s="1"/>
  <c r="IG22" i="2"/>
  <c r="EU20" i="17" s="1"/>
  <c r="O20" i="17" s="1"/>
  <c r="D20" i="17" l="1"/>
  <c r="B20" i="17" s="1"/>
  <c r="B13" i="6"/>
  <c r="ES12" i="17"/>
  <c r="M12" i="17" s="1"/>
  <c r="B21" i="6"/>
  <c r="ES20" i="17"/>
  <c r="M20" i="17" s="1"/>
  <c r="HW14" i="2"/>
  <c r="IF14" i="2"/>
  <c r="HX30" i="2"/>
  <c r="HX37" i="2" s="1"/>
  <c r="HR38" i="2" s="1"/>
  <c r="E357" i="8" s="1"/>
  <c r="IG25" i="2"/>
  <c r="HW25" i="2"/>
  <c r="AL24" i="6"/>
  <c r="D24" i="6" s="1"/>
  <c r="AL28" i="6"/>
  <c r="D28" i="6" s="1"/>
  <c r="HW29" i="2"/>
  <c r="IG29" i="2"/>
  <c r="EU12" i="17"/>
  <c r="O12" i="17" s="1"/>
  <c r="HY30" i="2"/>
  <c r="HY37" i="2" s="1"/>
  <c r="HS38" i="2" s="1"/>
  <c r="HW23" i="2"/>
  <c r="IG23" i="2"/>
  <c r="AL22" i="6"/>
  <c r="D22" i="6" s="1"/>
  <c r="IG26" i="2"/>
  <c r="HW26" i="2"/>
  <c r="AL25" i="6"/>
  <c r="D25" i="6" s="1"/>
  <c r="IF22" i="2"/>
  <c r="IE22" i="2" s="1"/>
  <c r="HW22" i="2"/>
  <c r="AL20" i="6"/>
  <c r="D20" i="6" s="1"/>
  <c r="HW21" i="2"/>
  <c r="IG21" i="2"/>
  <c r="P24" i="1" l="1"/>
  <c r="P25" i="1"/>
  <c r="P22" i="1"/>
  <c r="P28" i="1"/>
  <c r="P20" i="1"/>
  <c r="P13" i="1"/>
  <c r="P21" i="1"/>
  <c r="AI26" i="2"/>
  <c r="D25" i="1" s="1"/>
  <c r="AI29" i="2"/>
  <c r="D28" i="1" s="1"/>
  <c r="AI21" i="2"/>
  <c r="D20" i="1" s="1"/>
  <c r="AI25" i="2"/>
  <c r="D24" i="1" s="1"/>
  <c r="AI14" i="2"/>
  <c r="D13" i="1" s="1"/>
  <c r="AI23" i="2"/>
  <c r="D22" i="1" s="1"/>
  <c r="AI22" i="2"/>
  <c r="D21" i="1" s="1"/>
  <c r="K20" i="17"/>
  <c r="B24" i="7"/>
  <c r="E360" i="8"/>
  <c r="IE26" i="2"/>
  <c r="EU24" i="17"/>
  <c r="O24" i="17" s="1"/>
  <c r="B20" i="6"/>
  <c r="ES19" i="17"/>
  <c r="M19" i="17" s="1"/>
  <c r="EU27" i="17"/>
  <c r="O27" i="17" s="1"/>
  <c r="IE29" i="2"/>
  <c r="HW30" i="2"/>
  <c r="HW37" i="2" s="1"/>
  <c r="K12" i="17"/>
  <c r="IE25" i="2"/>
  <c r="EU23" i="17"/>
  <c r="O23" i="17" s="1"/>
  <c r="B25" i="6"/>
  <c r="ES24" i="17"/>
  <c r="M24" i="17" s="1"/>
  <c r="IE23" i="2"/>
  <c r="EU21" i="17"/>
  <c r="O21" i="17" s="1"/>
  <c r="D12" i="17"/>
  <c r="B12" i="17" s="1"/>
  <c r="B24" i="6"/>
  <c r="ES23" i="17"/>
  <c r="M23" i="17" s="1"/>
  <c r="IE14" i="2"/>
  <c r="IF30" i="2"/>
  <c r="IF37" i="2" s="1"/>
  <c r="AL29" i="6"/>
  <c r="AL36" i="6" s="1"/>
  <c r="IE21" i="2"/>
  <c r="EU19" i="17"/>
  <c r="O19" i="17" s="1"/>
  <c r="B22" i="6"/>
  <c r="ES21" i="17"/>
  <c r="M21" i="17" s="1"/>
  <c r="B28" i="6"/>
  <c r="ES27" i="17"/>
  <c r="M27" i="17" s="1"/>
  <c r="G357" i="8"/>
  <c r="E358" i="8"/>
  <c r="IG30" i="2"/>
  <c r="IG37" i="2" s="1"/>
  <c r="D23" i="17" l="1"/>
  <c r="B23" i="17" s="1"/>
  <c r="D27" i="17"/>
  <c r="B27" i="17" s="1"/>
  <c r="D21" i="17"/>
  <c r="B21" i="17" s="1"/>
  <c r="D19" i="17"/>
  <c r="B19" i="17" s="1"/>
  <c r="D24" i="17"/>
  <c r="B24" i="17" s="1"/>
  <c r="K27" i="17"/>
  <c r="K23" i="17"/>
  <c r="IE30" i="2"/>
  <c r="IE37" i="2" s="1"/>
  <c r="HQ59" i="2" s="1"/>
  <c r="B59" i="2" s="1"/>
  <c r="D59" i="2" s="1"/>
  <c r="K73" i="1" s="1"/>
  <c r="K19" i="17"/>
  <c r="I357" i="8"/>
  <c r="G358" i="8"/>
  <c r="V21" i="1"/>
  <c r="V22" i="1"/>
  <c r="K21" i="17"/>
  <c r="J20" i="1"/>
  <c r="HQ56" i="2"/>
  <c r="N52" i="1"/>
  <c r="HQ38" i="2"/>
  <c r="HQ53" i="2" s="1"/>
  <c r="J24" i="1"/>
  <c r="J28" i="1"/>
  <c r="E361" i="8"/>
  <c r="G360" i="8"/>
  <c r="ES28" i="17"/>
  <c r="ES35" i="17" s="1"/>
  <c r="J13" i="1"/>
  <c r="V24" i="1"/>
  <c r="J22" i="1"/>
  <c r="J25" i="1"/>
  <c r="V28" i="1"/>
  <c r="V20" i="1"/>
  <c r="J21" i="1"/>
  <c r="V13" i="1"/>
  <c r="V25" i="1"/>
  <c r="EU28" i="17"/>
  <c r="EU35" i="17" s="1"/>
  <c r="K24" i="17"/>
  <c r="GH16" i="2"/>
  <c r="FL18" i="2"/>
  <c r="NW16" i="2"/>
  <c r="I358" i="8" l="1"/>
  <c r="BJ15" i="6"/>
  <c r="D15" i="6" s="1"/>
  <c r="NW30" i="2"/>
  <c r="NW37" i="2" s="1"/>
  <c r="NW38" i="2" s="1"/>
  <c r="IL14" i="17"/>
  <c r="KP13" i="2"/>
  <c r="JN16" i="2"/>
  <c r="EF18" i="2"/>
  <c r="EL12" i="2"/>
  <c r="NV16" i="2"/>
  <c r="EF27" i="2"/>
  <c r="EE27" i="2" s="1"/>
  <c r="HQ57" i="2"/>
  <c r="ES36" i="17"/>
  <c r="FK18" i="2"/>
  <c r="FL30" i="2"/>
  <c r="FL37" i="2" s="1"/>
  <c r="E236" i="8" s="1"/>
  <c r="NL33" i="2"/>
  <c r="GH30" i="2"/>
  <c r="GH37" i="2" s="1"/>
  <c r="E265" i="8" s="1"/>
  <c r="GG16" i="2"/>
  <c r="GG30" i="2" s="1"/>
  <c r="GG37" i="2" s="1"/>
  <c r="EL17" i="2"/>
  <c r="G361" i="8"/>
  <c r="I360" i="8"/>
  <c r="HQ61" i="2"/>
  <c r="B56" i="2"/>
  <c r="JK16" i="2" l="1"/>
  <c r="N14" i="17"/>
  <c r="N28" i="17" s="1"/>
  <c r="N35" i="17" s="1"/>
  <c r="I361" i="8"/>
  <c r="AF29" i="6"/>
  <c r="AF36" i="6" s="1"/>
  <c r="AI27" i="2"/>
  <c r="D26" i="1" s="1"/>
  <c r="B61" i="2"/>
  <c r="D56" i="2"/>
  <c r="D61" i="2" s="1"/>
  <c r="NK33" i="2"/>
  <c r="NL34" i="2"/>
  <c r="NL37" i="2" s="1"/>
  <c r="E400" i="8" s="1"/>
  <c r="EL30" i="2"/>
  <c r="EL37" i="2" s="1"/>
  <c r="E406" i="8" s="1"/>
  <c r="EK12" i="2"/>
  <c r="KP30" i="2"/>
  <c r="KP37" i="2" s="1"/>
  <c r="E285" i="8" s="1"/>
  <c r="KO13" i="2"/>
  <c r="AI13" i="2" s="1"/>
  <c r="EK17" i="2"/>
  <c r="AI17" i="2" s="1"/>
  <c r="EF30" i="2"/>
  <c r="EF37" i="2" s="1"/>
  <c r="E271" i="8" s="1"/>
  <c r="EE18" i="2"/>
  <c r="B15" i="6"/>
  <c r="BJ29" i="6"/>
  <c r="BJ36" i="6" s="1"/>
  <c r="IK14" i="17"/>
  <c r="M14" i="17" s="1"/>
  <c r="E266" i="8"/>
  <c r="H265" i="8"/>
  <c r="G265" i="8"/>
  <c r="I265" i="8" s="1"/>
  <c r="FK30" i="2"/>
  <c r="FK37" i="2" s="1"/>
  <c r="E470" i="8"/>
  <c r="B36" i="7"/>
  <c r="E222" i="8"/>
  <c r="G236" i="8"/>
  <c r="H236" i="8"/>
  <c r="E239" i="8"/>
  <c r="NQ16" i="2"/>
  <c r="NQ30" i="2" s="1"/>
  <c r="NQ37" i="2" s="1"/>
  <c r="NV30" i="2"/>
  <c r="NV37" i="2" s="1"/>
  <c r="NV38" i="2" s="1"/>
  <c r="E467" i="8" s="1"/>
  <c r="JN30" i="2"/>
  <c r="JN37" i="2" s="1"/>
  <c r="IT38" i="2" s="1"/>
  <c r="E369" i="8" s="1"/>
  <c r="E335" i="8" s="1"/>
  <c r="P15" i="1"/>
  <c r="JX16" i="2"/>
  <c r="JU16" i="2" s="1"/>
  <c r="IL28" i="17"/>
  <c r="IL35" i="17" s="1"/>
  <c r="AI33" i="2" l="1"/>
  <c r="AI16" i="2"/>
  <c r="D15" i="1" s="1"/>
  <c r="D16" i="1"/>
  <c r="C14" i="17"/>
  <c r="E371" i="8"/>
  <c r="G369" i="8"/>
  <c r="G335" i="8" s="1"/>
  <c r="H369" i="8"/>
  <c r="E448" i="8"/>
  <c r="E450" i="8" s="1"/>
  <c r="H470" i="8"/>
  <c r="G470" i="8"/>
  <c r="E472" i="8"/>
  <c r="E503" i="8" s="1"/>
  <c r="G266" i="8"/>
  <c r="H266" i="8"/>
  <c r="EE30" i="2"/>
  <c r="EE37" i="2" s="1"/>
  <c r="G400" i="8"/>
  <c r="E393" i="8"/>
  <c r="E402" i="8"/>
  <c r="H400" i="8"/>
  <c r="JK30" i="2"/>
  <c r="JK37" i="2" s="1"/>
  <c r="G239" i="8"/>
  <c r="I239" i="8" s="1"/>
  <c r="H239" i="8"/>
  <c r="H285" i="8"/>
  <c r="E248" i="8"/>
  <c r="E288" i="8"/>
  <c r="E251" i="8" s="1"/>
  <c r="G285" i="8"/>
  <c r="JX30" i="2"/>
  <c r="JX37" i="2" s="1"/>
  <c r="JU30" i="2"/>
  <c r="JU37" i="2" s="1"/>
  <c r="H467" i="8"/>
  <c r="E469" i="8"/>
  <c r="G467" i="8"/>
  <c r="I467" i="8" s="1"/>
  <c r="H222" i="8"/>
  <c r="E225" i="8"/>
  <c r="H225" i="8" s="1"/>
  <c r="J26" i="1"/>
  <c r="D12" i="1"/>
  <c r="KO30" i="2"/>
  <c r="G406" i="8"/>
  <c r="E407" i="8"/>
  <c r="E394" i="8" s="1"/>
  <c r="H406" i="8"/>
  <c r="G222" i="8"/>
  <c r="I236" i="8"/>
  <c r="K14" i="17"/>
  <c r="IK28" i="17"/>
  <c r="IK35" i="17" s="1"/>
  <c r="IK36" i="17" s="1"/>
  <c r="G271" i="8"/>
  <c r="I271" i="8" s="1"/>
  <c r="E272" i="8"/>
  <c r="E249" i="8" s="1"/>
  <c r="H271" i="8"/>
  <c r="NK34" i="2"/>
  <c r="NK37" i="2" s="1"/>
  <c r="EK30" i="2"/>
  <c r="EK37" i="2" s="1"/>
  <c r="H393" i="8" l="1"/>
  <c r="E395" i="8"/>
  <c r="I266" i="8"/>
  <c r="E250" i="8"/>
  <c r="H250" i="8" s="1"/>
  <c r="H448" i="8"/>
  <c r="E496" i="8"/>
  <c r="J16" i="1"/>
  <c r="N47" i="1"/>
  <c r="D32" i="1"/>
  <c r="AI34" i="2"/>
  <c r="AI44" i="2" s="1"/>
  <c r="G225" i="8"/>
  <c r="I225" i="8" s="1"/>
  <c r="I222" i="8"/>
  <c r="I406" i="8"/>
  <c r="G407" i="8"/>
  <c r="G394" i="8" s="1"/>
  <c r="H248" i="8"/>
  <c r="H6" i="16"/>
  <c r="H402" i="8"/>
  <c r="H395" i="8"/>
  <c r="H7" i="16"/>
  <c r="H371" i="8"/>
  <c r="G371" i="8"/>
  <c r="H249" i="8"/>
  <c r="H272" i="8"/>
  <c r="G272" i="8"/>
  <c r="G249" i="8" s="1"/>
  <c r="H407" i="8"/>
  <c r="H394" i="8"/>
  <c r="E497" i="8"/>
  <c r="G288" i="8"/>
  <c r="G251" i="8" s="1"/>
  <c r="G448" i="8"/>
  <c r="I470" i="8"/>
  <c r="G472" i="8"/>
  <c r="G503" i="8" s="1"/>
  <c r="I369" i="8"/>
  <c r="I335" i="8"/>
  <c r="J12" i="1"/>
  <c r="G469" i="8"/>
  <c r="H469" i="8"/>
  <c r="H450" i="8"/>
  <c r="H19" i="16"/>
  <c r="J19" i="16" s="1"/>
  <c r="I285" i="8"/>
  <c r="G248" i="8"/>
  <c r="J15" i="1"/>
  <c r="G393" i="8"/>
  <c r="G402" i="8"/>
  <c r="I400" i="8"/>
  <c r="H472" i="8"/>
  <c r="C28" i="17"/>
  <c r="B14" i="17"/>
  <c r="KO54" i="2"/>
  <c r="KO37" i="2"/>
  <c r="KO53" i="2" s="1"/>
  <c r="B53" i="2" s="1"/>
  <c r="V15" i="1"/>
  <c r="E370" i="8"/>
  <c r="E336" i="8" s="1"/>
  <c r="E337" i="8" s="1"/>
  <c r="G250" i="8" l="1"/>
  <c r="I250" i="8" s="1"/>
  <c r="I448" i="8"/>
  <c r="G450" i="8"/>
  <c r="I393" i="8"/>
  <c r="G395" i="8"/>
  <c r="I395" i="8" s="1"/>
  <c r="E495" i="8"/>
  <c r="B54" i="2"/>
  <c r="D54" i="2" s="1"/>
  <c r="F73" i="1" s="1"/>
  <c r="B73" i="1" s="1"/>
  <c r="I472" i="8"/>
  <c r="J32" i="1"/>
  <c r="J33" i="1" s="1"/>
  <c r="D71" i="1" s="1"/>
  <c r="D33" i="1"/>
  <c r="KO57" i="2"/>
  <c r="I371" i="8"/>
  <c r="I407" i="8"/>
  <c r="I394" i="8"/>
  <c r="F41" i="17"/>
  <c r="F39" i="17"/>
  <c r="C35" i="17"/>
  <c r="I469" i="8"/>
  <c r="I450" i="8"/>
  <c r="I249" i="8"/>
  <c r="I272" i="8"/>
  <c r="J6" i="16"/>
  <c r="J21" i="16" s="1"/>
  <c r="H21" i="16"/>
  <c r="H370" i="8"/>
  <c r="G370" i="8"/>
  <c r="G336" i="8" s="1"/>
  <c r="G337" i="8" s="1"/>
  <c r="I402" i="8"/>
  <c r="I248" i="8"/>
  <c r="E483" i="8"/>
  <c r="B57" i="2" l="1"/>
  <c r="D57" i="2" s="1"/>
  <c r="D53" i="2"/>
  <c r="H251" i="8"/>
  <c r="I336" i="8"/>
  <c r="I370" i="8"/>
  <c r="I337" i="8"/>
  <c r="I251" i="8" l="1"/>
  <c r="G483" i="8"/>
  <c r="I483" i="8" s="1"/>
  <c r="E490" i="8"/>
  <c r="E491" i="8" s="1"/>
  <c r="C17" i="15"/>
  <c r="E17" i="15" s="1"/>
  <c r="H483" i="8"/>
  <c r="GU28" i="2" l="1"/>
  <c r="GU12" i="2"/>
  <c r="GU18" i="2"/>
  <c r="GS18" i="2" l="1"/>
  <c r="AH17" i="6"/>
  <c r="D17" i="6" s="1"/>
  <c r="HA18" i="2"/>
  <c r="AH27" i="6"/>
  <c r="D27" i="6" s="1"/>
  <c r="HA28" i="2"/>
  <c r="GX28" i="2"/>
  <c r="GS28" i="2"/>
  <c r="GS12" i="2"/>
  <c r="AH11" i="6"/>
  <c r="D11" i="6" s="1"/>
  <c r="HA12" i="2"/>
  <c r="GU30" i="2"/>
  <c r="GU37" i="2" s="1"/>
  <c r="GO38" i="2" s="1"/>
  <c r="AI28" i="2" l="1"/>
  <c r="D27" i="1" s="1"/>
  <c r="P27" i="1"/>
  <c r="AI12" i="2"/>
  <c r="P11" i="1"/>
  <c r="AI18" i="2"/>
  <c r="D17" i="1" s="1"/>
  <c r="P17" i="1"/>
  <c r="B27" i="6"/>
  <c r="EC26" i="17"/>
  <c r="M26" i="17" s="1"/>
  <c r="GS30" i="2"/>
  <c r="GS37" i="2" s="1"/>
  <c r="EE26" i="17"/>
  <c r="O26" i="17" s="1"/>
  <c r="GY28" i="2"/>
  <c r="B17" i="6"/>
  <c r="EC16" i="17"/>
  <c r="M16" i="17" s="1"/>
  <c r="AH29" i="6"/>
  <c r="AH36" i="6" s="1"/>
  <c r="EC10" i="17"/>
  <c r="M10" i="17" s="1"/>
  <c r="AI27" i="6"/>
  <c r="E27" i="6" s="1"/>
  <c r="GX30" i="2"/>
  <c r="GX37" i="2" s="1"/>
  <c r="GR38" i="2" s="1"/>
  <c r="HD28" i="2"/>
  <c r="GV28" i="2"/>
  <c r="GY18" i="2"/>
  <c r="EE16" i="17"/>
  <c r="O16" i="17" s="1"/>
  <c r="B28" i="7"/>
  <c r="B39" i="7" s="1"/>
  <c r="E24" i="8"/>
  <c r="E8" i="8" s="1"/>
  <c r="HA30" i="2"/>
  <c r="HA37" i="2" s="1"/>
  <c r="EE10" i="17"/>
  <c r="O10" i="17" s="1"/>
  <c r="GY12" i="2"/>
  <c r="AI46" i="2" l="1"/>
  <c r="AI48" i="2" s="1"/>
  <c r="GM38" i="2"/>
  <c r="O28" i="17"/>
  <c r="O35" i="17" s="1"/>
  <c r="AJ28" i="2"/>
  <c r="AT27" i="1"/>
  <c r="D16" i="17"/>
  <c r="B16" i="17" s="1"/>
  <c r="D26" i="17"/>
  <c r="B26" i="17" s="1"/>
  <c r="GY30" i="2"/>
  <c r="GY37" i="2" s="1"/>
  <c r="GV30" i="2"/>
  <c r="GV37" i="2" s="1"/>
  <c r="EC28" i="17"/>
  <c r="EC35" i="17" s="1"/>
  <c r="N46" i="1"/>
  <c r="J27" i="1"/>
  <c r="G24" i="8"/>
  <c r="G8" i="8" s="1"/>
  <c r="E25" i="8"/>
  <c r="E480" i="8"/>
  <c r="AI29" i="6"/>
  <c r="AI36" i="6" s="1"/>
  <c r="EG26" i="17"/>
  <c r="Q26" i="17" s="1"/>
  <c r="P29" i="1"/>
  <c r="P36" i="1" s="1"/>
  <c r="V11" i="1"/>
  <c r="K16" i="17"/>
  <c r="K26" i="17"/>
  <c r="V27" i="1"/>
  <c r="GR42" i="2"/>
  <c r="F24" i="8"/>
  <c r="F8" i="8" s="1"/>
  <c r="C28" i="7"/>
  <c r="D29" i="6"/>
  <c r="D36" i="6" s="1"/>
  <c r="B11" i="6"/>
  <c r="B29" i="6" s="1"/>
  <c r="J17" i="1"/>
  <c r="EE28" i="17"/>
  <c r="EE35" i="17" s="1"/>
  <c r="EI26" i="17"/>
  <c r="S26" i="17" s="1"/>
  <c r="HB28" i="2"/>
  <c r="HB30" i="2" s="1"/>
  <c r="HB37" i="2" s="1"/>
  <c r="HD30" i="2"/>
  <c r="HD37" i="2" s="1"/>
  <c r="D11" i="1"/>
  <c r="AI30" i="2"/>
  <c r="V17" i="1"/>
  <c r="E502" i="8" l="1"/>
  <c r="E505" i="8" s="1"/>
  <c r="D40" i="6" s="1"/>
  <c r="E9" i="8"/>
  <c r="D38" i="6"/>
  <c r="H24" i="8"/>
  <c r="F25" i="8"/>
  <c r="F9" i="8" s="1"/>
  <c r="F10" i="8" s="1"/>
  <c r="G25" i="8"/>
  <c r="C28" i="2"/>
  <c r="AH27" i="1"/>
  <c r="EC36" i="17"/>
  <c r="AZ27" i="1"/>
  <c r="AR27" i="1"/>
  <c r="V29" i="1"/>
  <c r="V36" i="1" s="1"/>
  <c r="K71" i="1" s="1"/>
  <c r="D10" i="17"/>
  <c r="D29" i="1"/>
  <c r="D36" i="1" s="1"/>
  <c r="J11" i="1"/>
  <c r="D37" i="6"/>
  <c r="EG28" i="17"/>
  <c r="EG35" i="17" s="1"/>
  <c r="AR46" i="1"/>
  <c r="AI45" i="2"/>
  <c r="AI37" i="2"/>
  <c r="EI28" i="17"/>
  <c r="EI35" i="17" s="1"/>
  <c r="C27" i="6"/>
  <c r="I24" i="8"/>
  <c r="G480" i="8"/>
  <c r="M28" i="17"/>
  <c r="K10" i="17"/>
  <c r="E10" i="8" l="1"/>
  <c r="E482" i="8" s="1"/>
  <c r="E489" i="8" s="1"/>
  <c r="E481" i="8"/>
  <c r="G502" i="8"/>
  <c r="G505" i="8" s="1"/>
  <c r="G9" i="8"/>
  <c r="AI49" i="2"/>
  <c r="EG36" i="17"/>
  <c r="I8" i="8"/>
  <c r="L26" i="17"/>
  <c r="J29" i="1"/>
  <c r="AF27" i="1"/>
  <c r="I25" i="8"/>
  <c r="H8" i="8"/>
  <c r="E485" i="8"/>
  <c r="M35" i="17"/>
  <c r="K28" i="17"/>
  <c r="H26" i="17"/>
  <c r="AN27" i="1"/>
  <c r="AX27" i="1"/>
  <c r="B10" i="17"/>
  <c r="B28" i="17" s="1"/>
  <c r="B35" i="17" s="1"/>
  <c r="B37" i="17" s="1"/>
  <c r="D28" i="17"/>
  <c r="H25" i="8"/>
  <c r="C16" i="15" l="1"/>
  <c r="E16" i="15" s="1"/>
  <c r="H22" i="16"/>
  <c r="G10" i="8"/>
  <c r="G482" i="8" s="1"/>
  <c r="G481" i="8"/>
  <c r="I481" i="8" s="1"/>
  <c r="E484" i="8"/>
  <c r="H10" i="8"/>
  <c r="I10" i="8"/>
  <c r="C15" i="15"/>
  <c r="E15" i="15" s="1"/>
  <c r="E487" i="8"/>
  <c r="H9" i="8"/>
  <c r="J41" i="17"/>
  <c r="B41" i="17" s="1"/>
  <c r="J39" i="17"/>
  <c r="B39" i="17" s="1"/>
  <c r="D35" i="17"/>
  <c r="M36" i="17"/>
  <c r="M37" i="17"/>
  <c r="K35" i="17"/>
  <c r="B36" i="17"/>
  <c r="I9" i="8"/>
  <c r="AL27" i="1"/>
  <c r="F71" i="1"/>
  <c r="B71" i="1" s="1"/>
  <c r="J36" i="1"/>
  <c r="G486" i="8"/>
  <c r="I480" i="8"/>
  <c r="E19" i="9"/>
  <c r="F26" i="17"/>
  <c r="I482" i="8" l="1"/>
  <c r="I484" i="8" s="1"/>
  <c r="J22" i="16"/>
  <c r="G484" i="8"/>
  <c r="AQ57" i="2" l="1"/>
  <c r="AO57" i="2" s="1"/>
  <c r="AK57" i="2" s="1"/>
  <c r="AQ61" i="2"/>
  <c r="AO61" i="2" s="1"/>
  <c r="AK61" i="2" s="1"/>
  <c r="IA13" i="2"/>
  <c r="II13" i="2" l="1"/>
  <c r="IB13" i="2" l="1"/>
  <c r="AM12" i="6" l="1"/>
  <c r="E12" i="6" s="1"/>
  <c r="IJ13" i="2"/>
  <c r="HZ13" i="2"/>
  <c r="AT12" i="1" l="1"/>
  <c r="AJ13" i="2"/>
  <c r="EY11" i="17"/>
  <c r="S11" i="17" s="1"/>
  <c r="IH13" i="2"/>
  <c r="EW11" i="17"/>
  <c r="Q11" i="17" s="1"/>
  <c r="C12" i="6" l="1"/>
  <c r="C13" i="2"/>
  <c r="AH12" i="1"/>
  <c r="AR12" i="1"/>
  <c r="AZ12" i="1"/>
  <c r="L11" i="17" l="1"/>
  <c r="H11" i="17"/>
  <c r="AX12" i="1"/>
  <c r="AN12" i="1"/>
  <c r="AF12" i="1"/>
  <c r="F11" i="17" l="1"/>
  <c r="AL12" i="1"/>
  <c r="IA17" i="2" l="1"/>
  <c r="IB17" i="2" l="1"/>
  <c r="II17" i="2"/>
  <c r="IJ17" i="2" l="1"/>
  <c r="AM16" i="6"/>
  <c r="E16" i="6" s="1"/>
  <c r="HZ17" i="2"/>
  <c r="AT16" i="1" l="1"/>
  <c r="AJ17" i="2"/>
  <c r="EY15" i="17"/>
  <c r="S15" i="17" s="1"/>
  <c r="EW15" i="17"/>
  <c r="Q15" i="17" s="1"/>
  <c r="IH17" i="2"/>
  <c r="AR16" i="1" l="1"/>
  <c r="AZ16" i="1"/>
  <c r="C16" i="6"/>
  <c r="AH16" i="1"/>
  <c r="C17" i="2"/>
  <c r="AF16" i="1" l="1"/>
  <c r="H15" i="17"/>
  <c r="L15" i="17"/>
  <c r="AN16" i="1"/>
  <c r="AX16" i="1"/>
  <c r="AL16" i="1" l="1"/>
  <c r="F15" i="17"/>
  <c r="IA19" i="2" l="1"/>
  <c r="II19" i="2" s="1"/>
  <c r="IB19" i="2" l="1"/>
  <c r="IJ19" i="2" l="1"/>
  <c r="AM18" i="6"/>
  <c r="E18" i="6" s="1"/>
  <c r="HZ19" i="2"/>
  <c r="AT18" i="1" l="1"/>
  <c r="AJ19" i="2"/>
  <c r="EW17" i="17"/>
  <c r="Q17" i="17" s="1"/>
  <c r="EY17" i="17"/>
  <c r="S17" i="17" s="1"/>
  <c r="IH19" i="2"/>
  <c r="AH18" i="1" l="1"/>
  <c r="C19" i="2"/>
  <c r="C18" i="6"/>
  <c r="AR18" i="1"/>
  <c r="AZ18" i="1"/>
  <c r="AF18" i="1" l="1"/>
  <c r="L17" i="17"/>
  <c r="AX18" i="1"/>
  <c r="H17" i="17"/>
  <c r="AN18" i="1"/>
  <c r="AL18" i="1" l="1"/>
  <c r="F17" i="17"/>
  <c r="IC30" i="2" l="1"/>
  <c r="IC37" i="2" s="1"/>
  <c r="IC38" i="2" s="1"/>
  <c r="IA20" i="2"/>
  <c r="II20" i="2" s="1"/>
  <c r="II30" i="2" l="1"/>
  <c r="II37" i="2" s="1"/>
  <c r="IA30" i="2"/>
  <c r="IA37" i="2" s="1"/>
  <c r="HU38" i="2" s="1"/>
  <c r="ID30" i="2" l="1"/>
  <c r="ID37" i="2" s="1"/>
  <c r="ID38" i="2" s="1"/>
  <c r="IB20" i="2"/>
  <c r="HU42" i="2"/>
  <c r="F357" i="8"/>
  <c r="IB30" i="2" l="1"/>
  <c r="IB37" i="2" s="1"/>
  <c r="HV38" i="2" s="1"/>
  <c r="IJ20" i="2"/>
  <c r="AM19" i="6"/>
  <c r="E19" i="6" s="1"/>
  <c r="HZ20" i="2"/>
  <c r="F358" i="8"/>
  <c r="H357" i="8"/>
  <c r="F495" i="8" l="1"/>
  <c r="AT19" i="1"/>
  <c r="AJ20" i="2"/>
  <c r="H358" i="8"/>
  <c r="F360" i="8"/>
  <c r="F335" i="8" s="1"/>
  <c r="F480" i="8" s="1"/>
  <c r="HV42" i="2"/>
  <c r="C24" i="7"/>
  <c r="C39" i="7" s="1"/>
  <c r="IJ30" i="2"/>
  <c r="IJ37" i="2" s="1"/>
  <c r="EY18" i="17"/>
  <c r="IH20" i="2"/>
  <c r="IH30" i="2" s="1"/>
  <c r="IH37" i="2" s="1"/>
  <c r="HT59" i="2" s="1"/>
  <c r="C59" i="2" s="1"/>
  <c r="E59" i="2" s="1"/>
  <c r="L73" i="1" s="1"/>
  <c r="C73" i="1" s="1"/>
  <c r="AM29" i="6"/>
  <c r="AM36" i="6" s="1"/>
  <c r="EW18" i="17"/>
  <c r="HZ30" i="2"/>
  <c r="HZ37" i="2" s="1"/>
  <c r="S18" i="17" l="1"/>
  <c r="S28" i="17" s="1"/>
  <c r="S35" i="17" s="1"/>
  <c r="Q18" i="17"/>
  <c r="Q28" i="17" s="1"/>
  <c r="Q35" i="17" s="1"/>
  <c r="C20" i="2"/>
  <c r="AJ30" i="2"/>
  <c r="AH19" i="1"/>
  <c r="AR19" i="1"/>
  <c r="AR29" i="1" s="1"/>
  <c r="AR36" i="1" s="1"/>
  <c r="AZ19" i="1"/>
  <c r="AT29" i="1"/>
  <c r="AT36" i="1" s="1"/>
  <c r="C19" i="6"/>
  <c r="C29" i="6" s="1"/>
  <c r="E29" i="6"/>
  <c r="E36" i="6" s="1"/>
  <c r="AR52" i="1"/>
  <c r="AJ46" i="2"/>
  <c r="HT38" i="2"/>
  <c r="HT53" i="2" s="1"/>
  <c r="HT56" i="2"/>
  <c r="EW28" i="17"/>
  <c r="EW35" i="17" s="1"/>
  <c r="EY28" i="17"/>
  <c r="EY35" i="17" s="1"/>
  <c r="H360" i="8"/>
  <c r="F361" i="8"/>
  <c r="F336" i="8" s="1"/>
  <c r="F337" i="8" l="1"/>
  <c r="F481" i="8"/>
  <c r="F502" i="8"/>
  <c r="F505" i="8" s="1"/>
  <c r="F511" i="8" s="1"/>
  <c r="EW36" i="17"/>
  <c r="AR59" i="1"/>
  <c r="C30" i="2"/>
  <c r="AF19" i="1"/>
  <c r="C46" i="2"/>
  <c r="AR38" i="1" s="1"/>
  <c r="AJ48" i="2"/>
  <c r="C48" i="2" s="1"/>
  <c r="AJ45" i="2"/>
  <c r="C45" i="2" s="1"/>
  <c r="AJ37" i="2"/>
  <c r="L18" i="17"/>
  <c r="H335" i="8"/>
  <c r="H18" i="17"/>
  <c r="C53" i="2"/>
  <c r="HT57" i="2"/>
  <c r="BB57" i="2" s="1"/>
  <c r="BA57" i="2" s="1"/>
  <c r="AZ57" i="2" s="1"/>
  <c r="AX57" i="2" s="1"/>
  <c r="AW57" i="2" s="1"/>
  <c r="AR37" i="1"/>
  <c r="AH29" i="1"/>
  <c r="AH36" i="1" s="1"/>
  <c r="AN19" i="1"/>
  <c r="H361" i="8"/>
  <c r="HT61" i="2"/>
  <c r="BB61" i="2" s="1"/>
  <c r="BA61" i="2" s="1"/>
  <c r="AZ61" i="2" s="1"/>
  <c r="AX61" i="2" s="1"/>
  <c r="AW61" i="2" s="1"/>
  <c r="C56" i="2"/>
  <c r="E37" i="6"/>
  <c r="E38" i="6"/>
  <c r="AX19" i="1"/>
  <c r="AX29" i="1" s="1"/>
  <c r="AX36" i="1" s="1"/>
  <c r="L64" i="1" s="1"/>
  <c r="AZ29" i="1"/>
  <c r="AZ36" i="1" s="1"/>
  <c r="L71" i="1" s="1"/>
  <c r="H337" i="8" l="1"/>
  <c r="F482" i="8"/>
  <c r="L79" i="1"/>
  <c r="E56" i="2"/>
  <c r="E61" i="2" s="1"/>
  <c r="C61" i="2"/>
  <c r="E53" i="2"/>
  <c r="C57" i="2"/>
  <c r="E57" i="2" s="1"/>
  <c r="H480" i="8"/>
  <c r="F485" i="8"/>
  <c r="AJ39" i="2"/>
  <c r="C38" i="2" s="1"/>
  <c r="AJ49" i="2"/>
  <c r="AF29" i="1"/>
  <c r="AL19" i="1"/>
  <c r="AL29" i="1" s="1"/>
  <c r="H336" i="8"/>
  <c r="AN29" i="1"/>
  <c r="H28" i="17"/>
  <c r="F18" i="17"/>
  <c r="F28" i="17" s="1"/>
  <c r="F35" i="17" s="1"/>
  <c r="F37" i="17" s="1"/>
  <c r="L28" i="17"/>
  <c r="E40" i="6"/>
  <c r="F489" i="8" l="1"/>
  <c r="D16" i="15"/>
  <c r="I22" i="16"/>
  <c r="H482" i="8"/>
  <c r="F484" i="8"/>
  <c r="F487" i="8"/>
  <c r="Q37" i="17"/>
  <c r="L35" i="17"/>
  <c r="F36" i="17"/>
  <c r="Q36" i="17"/>
  <c r="H71" i="1"/>
  <c r="C71" i="1" s="1"/>
  <c r="AN36" i="1"/>
  <c r="H35" i="17"/>
  <c r="K39" i="17"/>
  <c r="C39" i="17" s="1"/>
  <c r="H481" i="8"/>
  <c r="H484" i="8" s="1"/>
  <c r="D15" i="15"/>
  <c r="H64" i="1"/>
  <c r="K41" i="17"/>
  <c r="C41" i="17" s="1"/>
  <c r="H79" i="1" l="1"/>
  <c r="E13" i="9" l="1"/>
  <c r="D13" i="9" s="1"/>
  <c r="AA16" i="2" l="1"/>
  <c r="AE16" i="2" s="1"/>
  <c r="AA29" i="2"/>
  <c r="AE29" i="2" s="1"/>
  <c r="AA24" i="2"/>
  <c r="AE24" i="2" s="1"/>
  <c r="AA20" i="2"/>
  <c r="AE20" i="2" s="1"/>
  <c r="AA22" i="2"/>
  <c r="AE22" i="2" s="1"/>
  <c r="AA21" i="2"/>
  <c r="AE21" i="2" s="1"/>
  <c r="AA12" i="2"/>
  <c r="AA26" i="2"/>
  <c r="AE26" i="2" s="1"/>
  <c r="AA18" i="2"/>
  <c r="AE18" i="2" s="1"/>
  <c r="AA27" i="2"/>
  <c r="AE27" i="2" s="1"/>
  <c r="AA28" i="2"/>
  <c r="AE28" i="2" s="1"/>
  <c r="AA14" i="2"/>
  <c r="AE14" i="2" s="1"/>
  <c r="AA19" i="2"/>
  <c r="AE19" i="2" s="1"/>
  <c r="AA15" i="2"/>
  <c r="AE15" i="2" s="1"/>
  <c r="AA23" i="2"/>
  <c r="AE23" i="2" s="1"/>
  <c r="AA30" i="2" l="1"/>
  <c r="AA37" i="2" s="1"/>
  <c r="N41" i="1" s="1"/>
  <c r="AE12" i="2"/>
  <c r="AE30" i="2" s="1"/>
  <c r="AE37" i="2" s="1"/>
  <c r="E9" i="9"/>
  <c r="E10" i="9"/>
  <c r="D10" i="9" s="1"/>
  <c r="E11" i="9"/>
  <c r="D11" i="9" s="1"/>
  <c r="E12" i="9"/>
  <c r="D12" i="9" s="1"/>
  <c r="E15" i="9" l="1"/>
  <c r="D9" i="9"/>
  <c r="D15" i="9" s="1"/>
  <c r="H12" i="2" l="1"/>
  <c r="L12" i="2"/>
  <c r="F12" i="2"/>
  <c r="P12" i="2"/>
  <c r="T12" i="2"/>
  <c r="H13" i="2"/>
  <c r="L13" i="2"/>
  <c r="F13" i="2"/>
  <c r="N13" i="2"/>
  <c r="P13" i="2"/>
  <c r="T13" i="2"/>
  <c r="AA12" i="1" s="1"/>
  <c r="Z12" i="1" s="1"/>
  <c r="H14" i="2"/>
  <c r="L14" i="2"/>
  <c r="F14" i="2"/>
  <c r="N14" i="2"/>
  <c r="P14" i="2"/>
  <c r="T14" i="2"/>
  <c r="AA13" i="1" s="1"/>
  <c r="Z13" i="1" s="1"/>
  <c r="H15" i="2"/>
  <c r="L15" i="2"/>
  <c r="F15" i="2"/>
  <c r="N15" i="2"/>
  <c r="P15" i="2"/>
  <c r="T15" i="2"/>
  <c r="AA14" i="1" s="1"/>
  <c r="Z14" i="1" s="1"/>
  <c r="H16" i="2"/>
  <c r="L16" i="2"/>
  <c r="F16" i="2"/>
  <c r="N16" i="2"/>
  <c r="T16" i="2"/>
  <c r="H17" i="2"/>
  <c r="L17" i="2"/>
  <c r="F17" i="2"/>
  <c r="N17" i="2"/>
  <c r="P17" i="2"/>
  <c r="T17" i="2"/>
  <c r="AA16" i="1" s="1"/>
  <c r="Z16" i="1" s="1"/>
  <c r="H18" i="2"/>
  <c r="L18" i="2"/>
  <c r="F18" i="2"/>
  <c r="P18" i="2"/>
  <c r="T18" i="2"/>
  <c r="H19" i="2"/>
  <c r="L19" i="2"/>
  <c r="F19" i="2"/>
  <c r="N19" i="2"/>
  <c r="P19" i="2"/>
  <c r="T19" i="2"/>
  <c r="AA18" i="1" s="1"/>
  <c r="Z18" i="1" s="1"/>
  <c r="H20" i="2"/>
  <c r="L20" i="2"/>
  <c r="F20" i="2"/>
  <c r="N20" i="2"/>
  <c r="T20" i="2"/>
  <c r="H21" i="2"/>
  <c r="L21" i="2"/>
  <c r="F21" i="2"/>
  <c r="N21" i="2"/>
  <c r="P21" i="2"/>
  <c r="T21" i="2"/>
  <c r="H22" i="2"/>
  <c r="L22" i="2"/>
  <c r="F22" i="2"/>
  <c r="N22" i="2"/>
  <c r="T22" i="2"/>
  <c r="H23" i="2"/>
  <c r="L23" i="2"/>
  <c r="F23" i="2"/>
  <c r="N23" i="2"/>
  <c r="P23" i="2"/>
  <c r="T23" i="2"/>
  <c r="AA22" i="1" s="1"/>
  <c r="Z22" i="1" s="1"/>
  <c r="H24" i="2"/>
  <c r="L24" i="2"/>
  <c r="F24" i="2"/>
  <c r="N24" i="2"/>
  <c r="P24" i="2"/>
  <c r="T24" i="2"/>
  <c r="AA23" i="1" s="1"/>
  <c r="Z23" i="1" s="1"/>
  <c r="H25" i="2"/>
  <c r="L25" i="2"/>
  <c r="F25" i="2"/>
  <c r="N25" i="2"/>
  <c r="T25" i="2"/>
  <c r="H26" i="2"/>
  <c r="L26" i="2"/>
  <c r="F26" i="2"/>
  <c r="N26" i="2"/>
  <c r="P26" i="2"/>
  <c r="T26" i="2"/>
  <c r="AA25" i="1" s="1"/>
  <c r="Z25" i="1" s="1"/>
  <c r="H27" i="2"/>
  <c r="L27" i="2"/>
  <c r="F27" i="2"/>
  <c r="N27" i="2"/>
  <c r="T27" i="2"/>
  <c r="H28" i="2"/>
  <c r="L28" i="2"/>
  <c r="F28" i="2"/>
  <c r="N28" i="2"/>
  <c r="T28" i="2"/>
  <c r="H29" i="2"/>
  <c r="L29" i="2"/>
  <c r="F29" i="2"/>
  <c r="N29" i="2"/>
  <c r="P29" i="2"/>
  <c r="T29" i="2"/>
  <c r="F32" i="2"/>
  <c r="N32" i="2"/>
  <c r="F33" i="2"/>
  <c r="N33" i="2"/>
  <c r="AA27" i="1" l="1"/>
  <c r="Z27" i="1" s="1"/>
  <c r="AA24" i="1"/>
  <c r="Z24" i="1" s="1"/>
  <c r="AA19" i="1"/>
  <c r="Z19" i="1" s="1"/>
  <c r="AA20" i="1"/>
  <c r="Z20" i="1" s="1"/>
  <c r="AA17" i="1"/>
  <c r="Z17" i="1" s="1"/>
  <c r="AA26" i="1"/>
  <c r="Z26" i="1" s="1"/>
  <c r="AA21" i="1"/>
  <c r="Z21" i="1" s="1"/>
  <c r="AA15" i="1"/>
  <c r="Z15" i="1" s="1"/>
  <c r="AA28" i="1"/>
  <c r="J14" i="2"/>
  <c r="D33" i="2"/>
  <c r="C32" i="1" s="1"/>
  <c r="J17" i="2"/>
  <c r="J26" i="2"/>
  <c r="J22" i="2"/>
  <c r="J18" i="2"/>
  <c r="L30" i="2"/>
  <c r="L37" i="2" s="1"/>
  <c r="J27" i="2"/>
  <c r="J23" i="2"/>
  <c r="J19" i="2"/>
  <c r="J15" i="2"/>
  <c r="F30" i="2"/>
  <c r="AA11" i="1"/>
  <c r="T30" i="2"/>
  <c r="H30" i="2"/>
  <c r="H37" i="2" s="1"/>
  <c r="N39" i="1" s="1"/>
  <c r="J12" i="2"/>
  <c r="J28" i="2"/>
  <c r="J24" i="2"/>
  <c r="J20" i="2"/>
  <c r="J16" i="2"/>
  <c r="F34" i="2"/>
  <c r="D67" i="1" s="1"/>
  <c r="J29" i="2"/>
  <c r="J25" i="2"/>
  <c r="J21" i="2"/>
  <c r="J13" i="2"/>
  <c r="D29" i="2"/>
  <c r="C28" i="1" s="1"/>
  <c r="O28" i="1"/>
  <c r="R29" i="2"/>
  <c r="D26" i="2"/>
  <c r="C25" i="1" s="1"/>
  <c r="O25" i="1"/>
  <c r="R26" i="2"/>
  <c r="D24" i="2"/>
  <c r="R24" i="2"/>
  <c r="O23" i="1"/>
  <c r="D23" i="2"/>
  <c r="B23" i="2" s="1"/>
  <c r="O22" i="1"/>
  <c r="R23" i="2"/>
  <c r="D21" i="2"/>
  <c r="C20" i="1" s="1"/>
  <c r="O20" i="1"/>
  <c r="R21" i="2"/>
  <c r="D19" i="2"/>
  <c r="C18" i="1" s="1"/>
  <c r="R19" i="2"/>
  <c r="O18" i="1"/>
  <c r="O17" i="1"/>
  <c r="R18" i="2"/>
  <c r="D17" i="2"/>
  <c r="C16" i="1" s="1"/>
  <c r="R17" i="2"/>
  <c r="O16" i="1"/>
  <c r="D15" i="2"/>
  <c r="B15" i="2" s="1"/>
  <c r="O14" i="1"/>
  <c r="R15" i="2"/>
  <c r="D14" i="2"/>
  <c r="B14" i="2" s="1"/>
  <c r="O13" i="1"/>
  <c r="R14" i="2"/>
  <c r="D13" i="2"/>
  <c r="C12" i="1" s="1"/>
  <c r="R13" i="2"/>
  <c r="O12" i="1"/>
  <c r="R12" i="2"/>
  <c r="O11" i="1"/>
  <c r="D32" i="2"/>
  <c r="N34" i="2"/>
  <c r="D68" i="1" s="1"/>
  <c r="I32" i="1" l="1"/>
  <c r="I16" i="1"/>
  <c r="C22" i="1"/>
  <c r="B13" i="2"/>
  <c r="B17" i="2"/>
  <c r="I20" i="1"/>
  <c r="B19" i="2"/>
  <c r="I25" i="1"/>
  <c r="B21" i="2"/>
  <c r="C14" i="1"/>
  <c r="I18" i="1"/>
  <c r="I12" i="1"/>
  <c r="B26" i="2"/>
  <c r="I28" i="1"/>
  <c r="I67" i="1"/>
  <c r="F67" i="1"/>
  <c r="F37" i="2"/>
  <c r="F38" i="2" s="1"/>
  <c r="C10" i="15" s="1"/>
  <c r="B10" i="15" s="1"/>
  <c r="E10" i="15" s="1"/>
  <c r="J30" i="2"/>
  <c r="J37" i="2" s="1"/>
  <c r="K67" i="1" s="1"/>
  <c r="Z11" i="1"/>
  <c r="AA29" i="1"/>
  <c r="AA36" i="1" s="1"/>
  <c r="T37" i="2"/>
  <c r="D47" i="2" s="1"/>
  <c r="I68" i="1"/>
  <c r="U28" i="1"/>
  <c r="N25" i="1"/>
  <c r="U25" i="1"/>
  <c r="T25" i="1" s="1"/>
  <c r="B24" i="2"/>
  <c r="C23" i="1"/>
  <c r="N23" i="1"/>
  <c r="U23" i="1"/>
  <c r="T23" i="1" s="1"/>
  <c r="U22" i="1"/>
  <c r="T22" i="1" s="1"/>
  <c r="N22" i="1"/>
  <c r="N20" i="1"/>
  <c r="U20" i="1"/>
  <c r="T20" i="1" s="1"/>
  <c r="N18" i="1"/>
  <c r="U18" i="1"/>
  <c r="T18" i="1" s="1"/>
  <c r="U17" i="1"/>
  <c r="T17" i="1" s="1"/>
  <c r="N17" i="1"/>
  <c r="N16" i="1"/>
  <c r="U16" i="1"/>
  <c r="T16" i="1" s="1"/>
  <c r="U14" i="1"/>
  <c r="T14" i="1" s="1"/>
  <c r="N14" i="1"/>
  <c r="U13" i="1"/>
  <c r="T13" i="1" s="1"/>
  <c r="N13" i="1"/>
  <c r="C13" i="1"/>
  <c r="U12" i="1"/>
  <c r="T12" i="1" s="1"/>
  <c r="N12" i="1"/>
  <c r="N11" i="1"/>
  <c r="U11" i="1"/>
  <c r="C31" i="1"/>
  <c r="B32" i="2"/>
  <c r="D34" i="2"/>
  <c r="D44" i="2" s="1"/>
  <c r="B22" i="1"/>
  <c r="B20" i="1"/>
  <c r="B14" i="1"/>
  <c r="B13" i="1"/>
  <c r="B12" i="1"/>
  <c r="I14" i="1" l="1"/>
  <c r="I23" i="1"/>
  <c r="I22" i="1"/>
  <c r="I13" i="1"/>
  <c r="B18" i="1"/>
  <c r="H18" i="1" s="1"/>
  <c r="B16" i="1"/>
  <c r="H16" i="1" s="1"/>
  <c r="H20" i="1"/>
  <c r="B25" i="1"/>
  <c r="H25" i="1" s="1"/>
  <c r="H12" i="1"/>
  <c r="H22" i="1"/>
  <c r="H13" i="1"/>
  <c r="B67" i="1"/>
  <c r="H14" i="1"/>
  <c r="F40" i="2"/>
  <c r="I66" i="1"/>
  <c r="I69" i="1" s="1"/>
  <c r="AA37" i="1"/>
  <c r="B23" i="1"/>
  <c r="H23" i="1" s="1"/>
  <c r="T11" i="1"/>
  <c r="I31" i="1"/>
  <c r="I33" i="1" s="1"/>
  <c r="D66" i="1" s="1"/>
  <c r="D69" i="1" s="1"/>
  <c r="C33" i="1"/>
  <c r="B31" i="1"/>
  <c r="H31" i="1" l="1"/>
  <c r="D56" i="11" l="1"/>
  <c r="D57" i="11" s="1"/>
  <c r="D63" i="11" l="1"/>
  <c r="N12" i="2" l="1"/>
  <c r="P16" i="2"/>
  <c r="N18" i="2"/>
  <c r="P20" i="2"/>
  <c r="P22" i="2"/>
  <c r="P25" i="2"/>
  <c r="P27" i="2"/>
  <c r="P28" i="2"/>
  <c r="R28" i="2" l="1"/>
  <c r="O27" i="1"/>
  <c r="D28" i="2"/>
  <c r="D27" i="2"/>
  <c r="O26" i="1"/>
  <c r="R27" i="2"/>
  <c r="O24" i="1"/>
  <c r="D25" i="2"/>
  <c r="R25" i="2"/>
  <c r="R22" i="2"/>
  <c r="O21" i="1"/>
  <c r="D22" i="2"/>
  <c r="R20" i="2"/>
  <c r="D20" i="2"/>
  <c r="O19" i="1"/>
  <c r="O15" i="1"/>
  <c r="P30" i="2"/>
  <c r="R16" i="2"/>
  <c r="D16" i="2"/>
  <c r="D12" i="2"/>
  <c r="N30" i="2"/>
  <c r="D18" i="2"/>
  <c r="R30" i="2" l="1"/>
  <c r="R37" i="2" s="1"/>
  <c r="C27" i="1"/>
  <c r="B28" i="2"/>
  <c r="U27" i="1"/>
  <c r="T27" i="1" s="1"/>
  <c r="N27" i="1"/>
  <c r="N26" i="1"/>
  <c r="U26" i="1"/>
  <c r="T26" i="1" s="1"/>
  <c r="C26" i="1"/>
  <c r="B27" i="2"/>
  <c r="C24" i="1"/>
  <c r="B25" i="2"/>
  <c r="N24" i="1"/>
  <c r="U24" i="1"/>
  <c r="T24" i="1" s="1"/>
  <c r="C21" i="1"/>
  <c r="B22" i="2"/>
  <c r="U21" i="1"/>
  <c r="T21" i="1" s="1"/>
  <c r="N21" i="1"/>
  <c r="U19" i="1"/>
  <c r="T19" i="1" s="1"/>
  <c r="N19" i="1"/>
  <c r="B20" i="2"/>
  <c r="C19" i="1"/>
  <c r="C15" i="1"/>
  <c r="B16" i="2"/>
  <c r="D46" i="2"/>
  <c r="P37" i="2"/>
  <c r="N40" i="1" s="1"/>
  <c r="N15" i="1"/>
  <c r="U15" i="1"/>
  <c r="O29" i="1"/>
  <c r="O36" i="1" s="1"/>
  <c r="C11" i="1"/>
  <c r="B12" i="2"/>
  <c r="C17" i="1"/>
  <c r="B18" i="2"/>
  <c r="D30" i="2"/>
  <c r="N37" i="2"/>
  <c r="F68" i="1"/>
  <c r="I15" i="1" l="1"/>
  <c r="I21" i="1"/>
  <c r="I24" i="1"/>
  <c r="I27" i="1"/>
  <c r="I26" i="1"/>
  <c r="I11" i="1"/>
  <c r="I19" i="1"/>
  <c r="N38" i="2"/>
  <c r="K68" i="1"/>
  <c r="B68" i="1" s="1"/>
  <c r="B27" i="1"/>
  <c r="H27" i="1" s="1"/>
  <c r="B26" i="1"/>
  <c r="H26" i="1" s="1"/>
  <c r="B24" i="1"/>
  <c r="H24" i="1" s="1"/>
  <c r="B21" i="1"/>
  <c r="H21" i="1" s="1"/>
  <c r="B19" i="1"/>
  <c r="H19" i="1" s="1"/>
  <c r="T15" i="1"/>
  <c r="U29" i="1"/>
  <c r="U36" i="1" s="1"/>
  <c r="K66" i="1" s="1"/>
  <c r="B15" i="1"/>
  <c r="H15" i="1" s="1"/>
  <c r="D48" i="2"/>
  <c r="B11" i="1"/>
  <c r="H11" i="1" s="1"/>
  <c r="D45" i="2"/>
  <c r="D37" i="2"/>
  <c r="B17" i="1"/>
  <c r="I17" i="1"/>
  <c r="C29" i="1"/>
  <c r="C36" i="1" s="1"/>
  <c r="K69" i="1" l="1"/>
  <c r="D49" i="2"/>
  <c r="I29" i="1"/>
  <c r="H17" i="1"/>
  <c r="I36" i="1" l="1"/>
  <c r="F66" i="1"/>
  <c r="F69" i="1" l="1"/>
  <c r="B66" i="1"/>
  <c r="B69" i="1" s="1"/>
  <c r="TR29" i="2" l="1"/>
  <c r="TQ29" i="2" l="1"/>
  <c r="TR30" i="2"/>
  <c r="TR37" i="2" s="1"/>
  <c r="TL38" i="2" s="1"/>
  <c r="E29" i="11" s="1"/>
  <c r="TY29" i="2" l="1"/>
  <c r="TW29" i="2" s="1"/>
  <c r="TW30" i="2" s="1"/>
  <c r="TW37" i="2" s="1"/>
  <c r="SK48" i="2" s="1"/>
  <c r="B48" i="2" s="1"/>
  <c r="TQ30" i="2"/>
  <c r="TQ37" i="2" s="1"/>
  <c r="R28" i="1"/>
  <c r="SK29" i="2"/>
  <c r="H29" i="11"/>
  <c r="E26" i="11"/>
  <c r="H26" i="11" s="1"/>
  <c r="G29" i="11"/>
  <c r="TY30" i="2" l="1"/>
  <c r="TY37" i="2" s="1"/>
  <c r="SK47" i="2" s="1"/>
  <c r="B47" i="2" s="1"/>
  <c r="AD28" i="1"/>
  <c r="X28" i="1" s="1"/>
  <c r="SK46" i="2"/>
  <c r="N57" i="1"/>
  <c r="TK38" i="2"/>
  <c r="SZ33" i="2"/>
  <c r="R29" i="1"/>
  <c r="R36" i="1" s="1"/>
  <c r="N28" i="1"/>
  <c r="N29" i="1" s="1"/>
  <c r="N36" i="1" s="1"/>
  <c r="G26" i="11"/>
  <c r="I26" i="11" s="1"/>
  <c r="I29" i="11"/>
  <c r="F28" i="1"/>
  <c r="SK30" i="2"/>
  <c r="B29" i="2"/>
  <c r="H56" i="11"/>
  <c r="TB33" i="2" l="1"/>
  <c r="I56" i="11"/>
  <c r="L28" i="1"/>
  <c r="F29" i="1"/>
  <c r="SK45" i="2"/>
  <c r="B45" i="2" s="1"/>
  <c r="N37" i="1"/>
  <c r="SY33" i="2"/>
  <c r="SZ34" i="2"/>
  <c r="SZ37" i="2" s="1"/>
  <c r="SZ38" i="2" s="1"/>
  <c r="CN32" i="6"/>
  <c r="CF32" i="6" s="1"/>
  <c r="SK49" i="2"/>
  <c r="B46" i="2"/>
  <c r="N38" i="1" s="1"/>
  <c r="AD29" i="1"/>
  <c r="AD36" i="1" s="1"/>
  <c r="Z28" i="1"/>
  <c r="Z29" i="1" s="1"/>
  <c r="Z36" i="1" s="1"/>
  <c r="I64" i="1" s="1"/>
  <c r="X29" i="1"/>
  <c r="X36" i="1" s="1"/>
  <c r="K77" i="1" s="1"/>
  <c r="T28" i="1"/>
  <c r="T29" i="1" s="1"/>
  <c r="T36" i="1" s="1"/>
  <c r="K64" i="1" s="1"/>
  <c r="N59" i="1"/>
  <c r="B28" i="1"/>
  <c r="B30" i="2"/>
  <c r="TA33" i="2" l="1"/>
  <c r="TA34" i="2" s="1"/>
  <c r="TA37" i="2" s="1"/>
  <c r="TA38" i="2" s="1"/>
  <c r="CO32" i="6"/>
  <c r="CG32" i="6" s="1"/>
  <c r="TB34" i="2"/>
  <c r="TB37" i="2" s="1"/>
  <c r="TB38" i="2" s="1"/>
  <c r="F20" i="11" s="1"/>
  <c r="K79" i="1"/>
  <c r="H28" i="1"/>
  <c r="H29" i="1" s="1"/>
  <c r="B29" i="1"/>
  <c r="SK33" i="2"/>
  <c r="SY34" i="2"/>
  <c r="SY37" i="2" s="1"/>
  <c r="L29" i="1"/>
  <c r="B59" i="7"/>
  <c r="B62" i="7" s="1"/>
  <c r="B65" i="7" s="1"/>
  <c r="E20" i="11"/>
  <c r="E60" i="11" s="1"/>
  <c r="I77" i="1"/>
  <c r="I79" i="1" s="1"/>
  <c r="AD37" i="1"/>
  <c r="Z37" i="1" s="1"/>
  <c r="CN33" i="6"/>
  <c r="CN36" i="6" s="1"/>
  <c r="CO33" i="6" l="1"/>
  <c r="CO36" i="6" s="1"/>
  <c r="SL33" i="2"/>
  <c r="SL34" i="2" s="1"/>
  <c r="TB42" i="2"/>
  <c r="C59" i="7"/>
  <c r="C62" i="7" s="1"/>
  <c r="C65" i="7" s="1"/>
  <c r="F60" i="11"/>
  <c r="F13" i="11"/>
  <c r="F56" i="11" s="1"/>
  <c r="CG33" i="6"/>
  <c r="CG36" i="6" s="1"/>
  <c r="C32" i="6"/>
  <c r="C33" i="6" s="1"/>
  <c r="C36" i="6" s="1"/>
  <c r="H20" i="11"/>
  <c r="E13" i="11"/>
  <c r="G20" i="11"/>
  <c r="G60" i="11" s="1"/>
  <c r="F64" i="1"/>
  <c r="CF33" i="6"/>
  <c r="CF36" i="6" s="1"/>
  <c r="B32" i="6"/>
  <c r="B33" i="6" s="1"/>
  <c r="B36" i="6" s="1"/>
  <c r="B37" i="6" s="1"/>
  <c r="F77" i="1"/>
  <c r="SK34" i="2"/>
  <c r="F32" i="1"/>
  <c r="B33" i="2"/>
  <c r="AJ32" i="1" l="1"/>
  <c r="AJ33" i="1" s="1"/>
  <c r="AJ36" i="1" s="1"/>
  <c r="C33" i="2"/>
  <c r="C34" i="2" s="1"/>
  <c r="C37" i="2" s="1"/>
  <c r="C37" i="6"/>
  <c r="F63" i="11"/>
  <c r="F65" i="11"/>
  <c r="F67" i="11" s="1"/>
  <c r="CG37" i="6"/>
  <c r="C41" i="6"/>
  <c r="C43" i="6" s="1"/>
  <c r="C45" i="6" s="1"/>
  <c r="SL44" i="2"/>
  <c r="C44" i="2" s="1"/>
  <c r="SL37" i="2"/>
  <c r="SL38" i="2" s="1"/>
  <c r="B32" i="1"/>
  <c r="B34" i="2"/>
  <c r="B37" i="2" s="1"/>
  <c r="CF37" i="6"/>
  <c r="B38" i="6"/>
  <c r="B41" i="6"/>
  <c r="B43" i="6" s="1"/>
  <c r="G13" i="11"/>
  <c r="I20" i="11"/>
  <c r="SK44" i="2"/>
  <c r="B44" i="2" s="1"/>
  <c r="SK37" i="2"/>
  <c r="F79" i="1"/>
  <c r="F33" i="1"/>
  <c r="F36" i="1" s="1"/>
  <c r="L32" i="1"/>
  <c r="L33" i="1" s="1"/>
  <c r="E56" i="11"/>
  <c r="H13" i="11"/>
  <c r="AF32" i="1" l="1"/>
  <c r="AF33" i="1" s="1"/>
  <c r="AF36" i="1" s="1"/>
  <c r="AF37" i="1" s="1"/>
  <c r="AP32" i="1"/>
  <c r="AP33" i="1" s="1"/>
  <c r="E77" i="1" s="1"/>
  <c r="C77" i="1" s="1"/>
  <c r="C40" i="2"/>
  <c r="C41" i="2" s="1"/>
  <c r="C49" i="2"/>
  <c r="D77" i="1"/>
  <c r="B77" i="1" s="1"/>
  <c r="L36" i="1"/>
  <c r="H32" i="1"/>
  <c r="H33" i="1" s="1"/>
  <c r="B33" i="1"/>
  <c r="B36" i="1" s="1"/>
  <c r="B37" i="1" s="1"/>
  <c r="E63" i="11"/>
  <c r="B49" i="2"/>
  <c r="G56" i="11"/>
  <c r="I13" i="11"/>
  <c r="AL32" i="1" l="1"/>
  <c r="AL33" i="1" s="1"/>
  <c r="AL36" i="1" s="1"/>
  <c r="AP36" i="1"/>
  <c r="G63" i="11"/>
  <c r="E21" i="9"/>
  <c r="E22" i="9" s="1"/>
  <c r="D64" i="1"/>
  <c r="H36" i="1"/>
  <c r="E64" i="1" l="1"/>
  <c r="C64" i="1" s="1"/>
  <c r="C79" i="1" s="1"/>
  <c r="AL38" i="1"/>
  <c r="AL37" i="1"/>
  <c r="D79" i="1"/>
  <c r="B64" i="1"/>
  <c r="B79" i="1" s="1"/>
  <c r="H37" i="1"/>
  <c r="H38" i="1"/>
  <c r="E79" i="1" l="1"/>
  <c r="E57" i="11"/>
  <c r="SK38" i="2"/>
  <c r="AI38" i="2" l="1"/>
  <c r="RA38" i="2" l="1"/>
  <c r="D38" i="2" l="1"/>
  <c r="B38" i="2" s="1"/>
  <c r="B39" i="2" l="1"/>
  <c r="D8" i="15" l="1"/>
  <c r="F11" i="13"/>
  <c r="G11" i="13"/>
  <c r="D11" i="15" l="1"/>
  <c r="D9" i="15" s="1"/>
  <c r="I11" i="13"/>
  <c r="I15" i="13" l="1"/>
  <c r="F15" i="13" l="1"/>
  <c r="D19" i="15"/>
  <c r="D21" i="15" s="1"/>
  <c r="G15" i="13"/>
  <c r="H15" i="13" l="1"/>
  <c r="E17" i="13" l="1"/>
  <c r="I17" i="13" l="1"/>
  <c r="I19" i="13" s="1"/>
  <c r="I21" i="13" s="1"/>
  <c r="E15" i="13" l="1"/>
  <c r="B15" i="13" l="1"/>
  <c r="C19" i="15"/>
  <c r="C15" i="13"/>
  <c r="D15" i="13"/>
  <c r="C21" i="15" l="1"/>
  <c r="B19" i="15"/>
  <c r="B21" i="15" l="1"/>
  <c r="E19" i="15"/>
  <c r="E21" i="15" s="1"/>
  <c r="D13" i="13" l="1"/>
  <c r="B13" i="13" l="1"/>
  <c r="C13" i="15"/>
  <c r="C13" i="13"/>
  <c r="C14" i="15" l="1"/>
  <c r="B13" i="15"/>
  <c r="E13" i="15" l="1"/>
  <c r="E14" i="15" s="1"/>
  <c r="B14" i="15"/>
  <c r="F13" i="13" l="1"/>
  <c r="D13" i="15"/>
  <c r="G13" i="13"/>
  <c r="D14" i="15" l="1"/>
  <c r="H13" i="13" l="1"/>
  <c r="C8" i="15" l="1"/>
  <c r="B11" i="13"/>
  <c r="C11" i="13"/>
  <c r="B8" i="15" l="1"/>
  <c r="C11" i="15"/>
  <c r="C9" i="15" s="1"/>
  <c r="E11" i="13"/>
  <c r="E19" i="13" s="1"/>
  <c r="E21" i="13" s="1"/>
  <c r="B11" i="15" l="1"/>
  <c r="B9" i="15" s="1"/>
  <c r="E8" i="15"/>
  <c r="E11" i="15" l="1"/>
  <c r="E9" i="15" s="1"/>
  <c r="C23" i="15" l="1"/>
  <c r="B17" i="13"/>
  <c r="B19" i="13" s="1"/>
  <c r="A39" i="2"/>
  <c r="C17" i="13"/>
  <c r="C19" i="13" s="1"/>
  <c r="C21" i="13" s="1"/>
  <c r="H17" i="13"/>
  <c r="H19" i="13" s="1"/>
  <c r="H21" i="13" s="1"/>
  <c r="D17" i="13"/>
  <c r="D19" i="13" s="1"/>
  <c r="D21" i="13" s="1"/>
  <c r="C25" i="15" l="1"/>
  <c r="B23" i="15"/>
  <c r="C27" i="15"/>
  <c r="C28" i="15" s="1"/>
  <c r="B22" i="13"/>
  <c r="B21" i="13"/>
  <c r="C22" i="13"/>
  <c r="E23" i="15" l="1"/>
  <c r="B25" i="15"/>
  <c r="B27" i="15"/>
  <c r="D23" i="15"/>
  <c r="F17" i="13"/>
  <c r="F19" i="13" s="1"/>
  <c r="G17" i="13"/>
  <c r="G19" i="13" s="1"/>
  <c r="G21" i="13" s="1"/>
  <c r="G22" i="13" l="1"/>
  <c r="F22" i="13"/>
  <c r="F21" i="13"/>
  <c r="E25" i="15"/>
  <c r="E27" i="15"/>
  <c r="E28" i="15" s="1"/>
  <c r="D25" i="15"/>
  <c r="D27" i="15"/>
  <c r="D28" i="15" s="1"/>
  <c r="G57" i="11" l="1"/>
  <c r="F8" i="9" l="1"/>
  <c r="F524" i="8" l="1"/>
  <c r="G526" i="8" l="1"/>
  <c r="G524" i="8"/>
  <c r="G489" i="8"/>
</calcChain>
</file>

<file path=xl/sharedStrings.xml><?xml version="1.0" encoding="utf-8"?>
<sst xmlns="http://schemas.openxmlformats.org/spreadsheetml/2006/main" count="2977" uniqueCount="949">
  <si>
    <t>руб. коп.</t>
  </si>
  <si>
    <t>Всего</t>
  </si>
  <si>
    <t>тыс.руб.</t>
  </si>
  <si>
    <t>СУБСИДИЯ</t>
  </si>
  <si>
    <t>Перечислено</t>
  </si>
  <si>
    <t xml:space="preserve">  г. Елец</t>
  </si>
  <si>
    <t xml:space="preserve">  г. Липецк</t>
  </si>
  <si>
    <t>Итого по городам</t>
  </si>
  <si>
    <t xml:space="preserve">субсидии бюджетам поселений на обеспечение мероприятий по переселению граждан из аварийного жилищного фонда за счет средств бюджетов   </t>
  </si>
  <si>
    <t xml:space="preserve">Дотации  бюджетам  поселений  на  выравнивание  бюджетной  обеспеченности  </t>
  </si>
  <si>
    <t xml:space="preserve">субсидии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t>
  </si>
  <si>
    <t>Закон  Липецкой  области  от  04.02.2008  года  № 129-ОЗ  "О  наделении  органов  местного  самоуправления  отдельными  государственными  полномочиями  по  оплате  жилья  и  коммунальных  услуг  педагогическим,  медицинским,  фармацевтическим,  социальным  работникам,  работникам  культуры  и  искусства"</t>
  </si>
  <si>
    <t>Наименование  муниципальных  образований</t>
  </si>
  <si>
    <t>Годовой  план</t>
  </si>
  <si>
    <t>Исполнено</t>
  </si>
  <si>
    <t>всего</t>
  </si>
  <si>
    <t>Годовой  план,  всего</t>
  </si>
  <si>
    <t>Исполнено,  всего</t>
  </si>
  <si>
    <t>Целевая  статья</t>
  </si>
  <si>
    <t>Закон  Липецкой  области  от  15.10.2009  года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</si>
  <si>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руб.коп.</t>
  </si>
  <si>
    <t>Закон  Липецкой  области  от  27.12.2007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единовременной выплаты детям-сиротам и детям, оставшимся без попечения родителей, а также лицам из их числа на ремонт закрепленного жилого помещения</t>
  </si>
  <si>
    <t xml:space="preserve">Прочие  субсидии  бюджетам  муниципальных  районов  и  городских  округов  </t>
  </si>
  <si>
    <t xml:space="preserve">Прочие  субсидии  бюджетам  поселений  </t>
  </si>
  <si>
    <t>в  рамках  государственных  программ</t>
  </si>
  <si>
    <t>в  рамках  непрограммной  деятельности</t>
  </si>
  <si>
    <t>Иные  межбюджетные  трансферты</t>
  </si>
  <si>
    <t>дотации на поощрение достижения наилучших показателей деятельности органов местного самоуправления</t>
  </si>
  <si>
    <t xml:space="preserve">РАСПРЕДЕЛЕНИЕ  МЕЖБЮДЖЕТНЫХ  ТРАНСФЕРТОВ  МЕЖДУ  УРОВНЯМИ  БЮДЖЕТОВ  </t>
  </si>
  <si>
    <t xml:space="preserve">Субвенции  бюджетам  муниципальных  районов  и  городских  округов  на  выполнение  передаваемых  полномочий  субъектов  Российской  Федерации  </t>
  </si>
  <si>
    <t>Физическая  культура  и  спорт</t>
  </si>
  <si>
    <t>Закон  Липецкой  области  от  31.08.2004  года  № 120-ОЗ  «Об  административных  комиссиях  и   наделении  органов  местного  самоуправления  государственными  полномочиями  по  образованию  и  организации  деятельности  административных  комиссий,  составлению  протоколов  об  административных  правонарушениях»</t>
  </si>
  <si>
    <t xml:space="preserve">Закон  Липецкой  области  от  11.12.2013  года  № 217-ОЗ  "О  нормативах  финансирования  муниципальных  дошкольных  образовательных  организаций" </t>
  </si>
  <si>
    <t>0801</t>
  </si>
  <si>
    <t>Культура</t>
  </si>
  <si>
    <t>руб.коп</t>
  </si>
  <si>
    <t xml:space="preserve">        ВСЕГО</t>
  </si>
  <si>
    <t xml:space="preserve"> из  них</t>
  </si>
  <si>
    <t>в  том  числе</t>
  </si>
  <si>
    <t>дотация  на  выравнивание</t>
  </si>
  <si>
    <t>ГП</t>
  </si>
  <si>
    <t>СП</t>
  </si>
  <si>
    <t>КС - 522</t>
  </si>
  <si>
    <t>Закон</t>
  </si>
  <si>
    <t>КС</t>
  </si>
  <si>
    <t>Отклонение</t>
  </si>
  <si>
    <t>0709</t>
  </si>
  <si>
    <t>Другие общегосударственные вопросы</t>
  </si>
  <si>
    <t>Закон  Липецкой  области  от  27.12.2007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содержания  численности  специалистов,  осуществляющих  деятельность  по  опеке  и  попечительству</t>
  </si>
  <si>
    <t>иные  межбюджетные  трансферты</t>
  </si>
  <si>
    <t>0701</t>
  </si>
  <si>
    <t>Дошкольное образование</t>
  </si>
  <si>
    <t>нераспределенная  субсидия</t>
  </si>
  <si>
    <t xml:space="preserve">Всего </t>
  </si>
  <si>
    <t>Справочно:  бюджеты  поселений</t>
  </si>
  <si>
    <t>Всего  консолидированный  бюджет</t>
  </si>
  <si>
    <t>областная</t>
  </si>
  <si>
    <t>федеральная</t>
  </si>
  <si>
    <t>средства  федерального  бюджета</t>
  </si>
  <si>
    <t>городские</t>
  </si>
  <si>
    <t>районы</t>
  </si>
  <si>
    <t>Жилищное хозяйство</t>
  </si>
  <si>
    <t>Безвозмездные  поступления  от  других  бюджетов  бюджетной  системы  Российской  Федерации    (000 2 02 00000 00 0000 000)</t>
  </si>
  <si>
    <t>Получение  бюджетных  кредитов  от  других  бюджетов  бюджетной  системы  Российской  Федерации  бюджетами  городских  округов  ( 000 01 03 00 00 04 0000 700 )</t>
  </si>
  <si>
    <t xml:space="preserve">     Наименование  муниципальных  образований</t>
  </si>
  <si>
    <t>Прочие межбюджетные трансферты общего характера</t>
  </si>
  <si>
    <t>Погашение  бюджетных  кредитов,  полученных  от  других  бюджетов  бюджетной  системы  Российской  Федерации  бюджетами  сельских  поселений   (000 01 03 00 00 10 0000 800)</t>
  </si>
  <si>
    <t>Погашение  бюджетных  кредитов,  полученных  от  других  бюджетов  бюджетной  системы  Российской  Федерации  бюджетами  городских  поселений   (000 01 03 00 00 13 0000 800)</t>
  </si>
  <si>
    <t>Получение  бюджетных  кредитов  от  других  бюджетов  бюджетной  системы  Российской  Федерации  бюджетами  муниципальных  районов  ( 000 01 03 00 00 05 0000 700 )</t>
  </si>
  <si>
    <t>Погашение  бюджетных  кредитов,  полученных  от  других  бюджетов  бюджетной  системы  Российской  Федерации  бюджетами  городских  округов   (000 01 03 00 00 04 0000 800)</t>
  </si>
  <si>
    <t>Погашение  бюджетных  кредитов,  полученных  от  других  бюджетов  бюджетной  системы  Российской  Федерации  бюджетами  муниципальных  районов  (000 01 03 00 00 05 0000 800)</t>
  </si>
  <si>
    <t>Получение  бюджетных  кредитов  от  других  бюджетов  бюджетной  системы  Российской  Федерации  бюджетами  сельских  поселений  (000 01 03 00 00 10 0000 700)</t>
  </si>
  <si>
    <t>Получение  бюджетных  кредитов  от  других  бюджетов  бюджетной  системы  Российской  Федерации  бюджетами  городских  поселений  (000 01 03 00 00 13 0000 700)</t>
  </si>
  <si>
    <t>Прочие межбюджетные трансферты, передаваемые бюджетам поселений</t>
  </si>
  <si>
    <t>без  учета  дотации</t>
  </si>
  <si>
    <t>0113</t>
  </si>
  <si>
    <t>0702</t>
  </si>
  <si>
    <t>субвенция</t>
  </si>
  <si>
    <t>прочие  безв. поступления</t>
  </si>
  <si>
    <t>Воловский</t>
  </si>
  <si>
    <t>Грязинский</t>
  </si>
  <si>
    <t>Данковский</t>
  </si>
  <si>
    <t>Добринский</t>
  </si>
  <si>
    <t>Добровский</t>
  </si>
  <si>
    <t>Долгоруковский</t>
  </si>
  <si>
    <t>Елецкий</t>
  </si>
  <si>
    <t>Задонский</t>
  </si>
  <si>
    <t>Измалковский</t>
  </si>
  <si>
    <t>Краснинский</t>
  </si>
  <si>
    <t>Лебедянский</t>
  </si>
  <si>
    <t>Лев-Толстовский</t>
  </si>
  <si>
    <t>Липецкий</t>
  </si>
  <si>
    <t>Становлянский</t>
  </si>
  <si>
    <t>Тербунский</t>
  </si>
  <si>
    <t>Усманский</t>
  </si>
  <si>
    <t>Хлевенский</t>
  </si>
  <si>
    <t>Чаплыгинский</t>
  </si>
  <si>
    <t>районы,  города</t>
  </si>
  <si>
    <t>из  них</t>
  </si>
  <si>
    <t>поселения</t>
  </si>
  <si>
    <t>дотация</t>
  </si>
  <si>
    <t>субсидия</t>
  </si>
  <si>
    <t xml:space="preserve">Закон  Липецкой  области  от  30.11.2000  года  № 117-ОЗ  «О  наделении  органов  местного  самоуправления  государственными  полномочиями  Липецкой  области  в  сфере  архивного  дела»  </t>
  </si>
  <si>
    <t>Массовый  спорт</t>
  </si>
  <si>
    <t>Итого по районам</t>
  </si>
  <si>
    <t>0408</t>
  </si>
  <si>
    <t>Транспорт</t>
  </si>
  <si>
    <t>Справочно:</t>
  </si>
  <si>
    <t>план  погашения  КБ</t>
  </si>
  <si>
    <t>факт  погашения  КБ</t>
  </si>
  <si>
    <t xml:space="preserve"> Закон  Липецкой  области  от  08.11.2012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</si>
  <si>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Другие  вопросы  в  области  образования</t>
  </si>
  <si>
    <t>Подраздел</t>
  </si>
  <si>
    <t>Общее образование</t>
  </si>
  <si>
    <t>дотация  на  сбалансированность</t>
  </si>
  <si>
    <t>0412</t>
  </si>
  <si>
    <t>Другие вопросы в области национальной экономики</t>
  </si>
  <si>
    <t>ГОРОДСКИЕ  ПОСЕЛЕНИЯ</t>
  </si>
  <si>
    <t>СЕЛЬСКИЕ  ПОСЕЛЕНИЯ</t>
  </si>
  <si>
    <t>Получение  бюджетных  кредитов  от  других  бюджетов  бюджетной  системы  Российской  Федерации  бюджетами  поселений</t>
  </si>
  <si>
    <t>В  ТОМ  ЧИСЛЕ</t>
  </si>
  <si>
    <t>Погашение  бюджетных  кредитов,  полученных  от  других  бюджетов  бюджетной  системы  Российской  Федерации  бюджетами  поселений</t>
  </si>
  <si>
    <t>Дотации  бюджетам  поселений  на  поддержку  мер  по  обеспечению  сбалансированности  бюджетов</t>
  </si>
  <si>
    <t>0409</t>
  </si>
  <si>
    <t>Бюджет_КС</t>
  </si>
  <si>
    <t>район</t>
  </si>
  <si>
    <t>города</t>
  </si>
  <si>
    <t>ИНЫЕ  МЕЖБЮДЖЕТНЫЕ  ТРАНСФЕРТЫ</t>
  </si>
  <si>
    <t>КОСГУ  310,  всего</t>
  </si>
  <si>
    <t>0501</t>
  </si>
  <si>
    <t>0503</t>
  </si>
  <si>
    <t>Благоустройство</t>
  </si>
  <si>
    <t>КОСГУ  310</t>
  </si>
  <si>
    <t>МР</t>
  </si>
  <si>
    <t>ГО</t>
  </si>
  <si>
    <t>БП</t>
  </si>
  <si>
    <t>ВСЕГО</t>
  </si>
  <si>
    <t>(вид  расхода  512  "Иные дотации")</t>
  </si>
  <si>
    <t>(вид  расхода  540  "Иные межбюджетные трансферты")</t>
  </si>
  <si>
    <t>Иные  межбюджетные  трансферты,  всего</t>
  </si>
  <si>
    <t>вид  расхода  530  "Субвенции"</t>
  </si>
  <si>
    <t>вид  расхода  540  "Иные межбюджетные трансферты"</t>
  </si>
  <si>
    <t>вид  расхода  511  "Дотации на выравнивание бюджетной обеспеченности"</t>
  </si>
  <si>
    <t>вид  расхода  512  "Иные дотации"</t>
  </si>
  <si>
    <t xml:space="preserve">вид  расхода  521  "Субсидии, за исключением субсидий на софинансирование капитальных вложений в объекты государственной (муниципальной) собственности"  </t>
  </si>
  <si>
    <t>вид  расхода  522  "Субсидии на софинансирование капитальных вложений в объекты государственной (муниципальной) собственности"</t>
  </si>
  <si>
    <t xml:space="preserve">вид  расхода  521  </t>
  </si>
  <si>
    <t xml:space="preserve">вид  расхода  522  </t>
  </si>
  <si>
    <t>КС - 521</t>
  </si>
  <si>
    <t xml:space="preserve">Закон  Липецкой  области  от  30.12.2004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  </t>
  </si>
  <si>
    <t>Дорожное хозяйство (дорожные фонды)</t>
  </si>
  <si>
    <t>Безвозмездные  поступления     (000 2 00 00000 00 0000 000)</t>
  </si>
  <si>
    <t xml:space="preserve">Субсидии бюджетам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t>
  </si>
  <si>
    <t>Получение  бюджетных  кредитов  от  других  бюджетов  бюджетной  системы  Российской  Федерации  (000 01 03 00 00 00 0000 700)</t>
  </si>
  <si>
    <t>Погашение  бюджетных  кредитов,  полученных  от  других  бюджетов  бюджетной  системы  Российской  Федерации    (000 01 03 00 00 00 0000 800)</t>
  </si>
  <si>
    <t>СУБВЕНЦИЯ</t>
  </si>
  <si>
    <t>годовой  план</t>
  </si>
  <si>
    <t>факт</t>
  </si>
  <si>
    <t>ИТОГО</t>
  </si>
  <si>
    <t>Показатели</t>
  </si>
  <si>
    <t>Нераспределенная  сумма</t>
  </si>
  <si>
    <t>Распределено</t>
  </si>
  <si>
    <t xml:space="preserve">прочие  субсидии  </t>
  </si>
  <si>
    <t>субвенция  на  воинский  учет</t>
  </si>
  <si>
    <t>отклонение</t>
  </si>
  <si>
    <t>нераспределенные  иные  МБТ</t>
  </si>
  <si>
    <t xml:space="preserve">субсидии бюджетам поселений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 </t>
  </si>
  <si>
    <t>выборка  без  федеральных</t>
  </si>
  <si>
    <t>прочие межбюджетные трансферты, передаваемые бюджетам поселений</t>
  </si>
  <si>
    <t xml:space="preserve"> Другие общегосударственные вопросы</t>
  </si>
  <si>
    <t>19 3 01 80030</t>
  </si>
  <si>
    <t>Целевая  статья  01 1 01 51350</t>
  </si>
  <si>
    <t>Целевая  статья  99 9 00 51180</t>
  </si>
  <si>
    <t>Целевая  статья  99 9 00 51200</t>
  </si>
  <si>
    <t>Целевая  статья  99 4 00 59300</t>
  </si>
  <si>
    <t>01 1 01 85250</t>
  </si>
  <si>
    <t>01 4 04 85080</t>
  </si>
  <si>
    <t>01 4 02 85130</t>
  </si>
  <si>
    <t>01 4 02 85140</t>
  </si>
  <si>
    <t>01 5 03 85320</t>
  </si>
  <si>
    <t>01 7 02 85150</t>
  </si>
  <si>
    <t>02 4 01 85340</t>
  </si>
  <si>
    <t>06 3 01 85060</t>
  </si>
  <si>
    <t>09 1 01 85070</t>
  </si>
  <si>
    <t>99 9 00 85270</t>
  </si>
  <si>
    <t>Целевая  статья  01 4 02 85040</t>
  </si>
  <si>
    <t>Целевая  статья  01 7 01 85050</t>
  </si>
  <si>
    <t>99 4 00 59300</t>
  </si>
  <si>
    <t>99 4 00 85020</t>
  </si>
  <si>
    <t>Целевые  статьи  99 4 00 85020  (областные),  99 4 00 59300  (федеральные)</t>
  </si>
  <si>
    <t>19 3 02 80040</t>
  </si>
  <si>
    <t>19 3 02 80070</t>
  </si>
  <si>
    <t>Целевые  статьи  19 3 02 80040,  19 3 02 80070</t>
  </si>
  <si>
    <t>19 3 02 80050</t>
  </si>
  <si>
    <t>19 3 02 80060</t>
  </si>
  <si>
    <t>19 3 02 80080</t>
  </si>
  <si>
    <t>Целевые  статьи  19 3 02 80050,  19 3 02 80060,  19 3 02 80080</t>
  </si>
  <si>
    <t>Целевая  статья  19 3 01 80030</t>
  </si>
  <si>
    <t>Целевые  статьи  19 3 01 80010, 19 3 01 80020</t>
  </si>
  <si>
    <t>08 5 03 86010</t>
  </si>
  <si>
    <t>14 2 02 86100</t>
  </si>
  <si>
    <t>13 6 01 86050</t>
  </si>
  <si>
    <t>13 8 01 86060</t>
  </si>
  <si>
    <t>05 1 06 86560</t>
  </si>
  <si>
    <t>12 1 29 86080</t>
  </si>
  <si>
    <t>08 5 03 86010 - в  части  капремонта</t>
  </si>
  <si>
    <t>08 5 03 86010 - бюдж. Инвест.</t>
  </si>
  <si>
    <t>14 1 04 86030</t>
  </si>
  <si>
    <t>ВР  521</t>
  </si>
  <si>
    <t>ВР  522</t>
  </si>
  <si>
    <t>ВР  522,  всего</t>
  </si>
  <si>
    <t>13 5 02 85170</t>
  </si>
  <si>
    <t>1.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в рамках  подпрограммы "Развитие мер социальной поддержки отдельных категорий населения" государственной программы Липецкой области "Социальная поддержка граждан, реализация семейно-демографической политики Липецкой области" (ЦС  01 1 01 51340)</t>
  </si>
  <si>
    <t>Целевая  статья  01 1 01 51340</t>
  </si>
  <si>
    <t xml:space="preserve">Закон Липецкой области от 18.09.2015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 </t>
  </si>
  <si>
    <t xml:space="preserve">Закон  Липецкой  области  от  31.12.2009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  </t>
  </si>
  <si>
    <t>01 7 01 85360</t>
  </si>
  <si>
    <t>16 2 02 86210</t>
  </si>
  <si>
    <t>14 1 05 86070</t>
  </si>
  <si>
    <t>01 6 05 R0273</t>
  </si>
  <si>
    <t>10 1 03 86670</t>
  </si>
  <si>
    <t>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в рамках подпрограммы "Повышение качества условий проживания населения области за счет обеспечения населенных пунктов области социальной инфраструктурой"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</si>
  <si>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 в рамках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t>
  </si>
  <si>
    <t>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 в рамках подпрограммы «Содействие развитию гражданского общества, патриотического воспитания населения Липецкой области и реализация молодежной политики» государственной программы Липецкой области "Реализация внутренней политики Липецкой области"</t>
  </si>
  <si>
    <t>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 в рамках подпрограммы "Развитие дорожного комплекса Липецкой области" государственной программы Липецкой области "Развитие транспортной системы Липецкой области"</t>
  </si>
  <si>
    <t>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 в рамках подпрограммы "Энергосбережение и повышение энергетической эффективности" государственной программы Липецкой области "Энергоэффективность и развитие энергетики в Липецкой области"</t>
  </si>
  <si>
    <t>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 в рамках подпрограммы "Развитие дорожного комплекса Липецкой области" государственной программы Липецкой области "Развитие транспортной системы Липецкой области"</t>
  </si>
  <si>
    <t>Справка по исп. Лимитов по ЦС (райгруппа)</t>
  </si>
  <si>
    <t>Справка по исп. Лимитов по ЦС и ВР (райгруппа)</t>
  </si>
  <si>
    <t xml:space="preserve">  05 1 13 85350</t>
  </si>
  <si>
    <t>05 1 14 85090</t>
  </si>
  <si>
    <t>05 1 14 85160</t>
  </si>
  <si>
    <t>сельские</t>
  </si>
  <si>
    <t>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в рамках подпрограммы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</si>
  <si>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05 1 14 85420</t>
  </si>
  <si>
    <t>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компенсации затрат родителей (законных представителей) детей-инвалидов на организацию обучения по основным общеобразовательным программам на дому</t>
  </si>
  <si>
    <t>0502</t>
  </si>
  <si>
    <t>Коммунальное  хозяйство</t>
  </si>
  <si>
    <t>06 1 13 86680</t>
  </si>
  <si>
    <t xml:space="preserve">Предоставление субсидий местным бюджетам на реализацию муниципальных программ, направленных на строительство сельских домов культуры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t>
  </si>
  <si>
    <t xml:space="preserve">Поддержка отрасли культуры (предоставление субсидий местным бюджетам на реализацию муниципальных программ, направленных на проведение мероприятий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t>
  </si>
  <si>
    <t>06 1 15 R5192</t>
  </si>
  <si>
    <t xml:space="preserve">Субсидия бюджетам поселений на поддержку отрасли культуры   </t>
  </si>
  <si>
    <t xml:space="preserve">субсидия на поддержку отрасли культуры  </t>
  </si>
  <si>
    <t xml:space="preserve">субсидии бюджетам поселений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 </t>
  </si>
  <si>
    <t xml:space="preserve">Субсидии бюджетам поселений на поддержку государственных программ субъектов Российской Федерации  и муниципальных программ формирования современной городской среды  </t>
  </si>
  <si>
    <t>11 4 08 R5276</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</si>
  <si>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(предоставление субсидии местным бюджетам для реализации муниципальных программ развития малого и среднего предпринимательства в части предоставления субсидий субъектам малого и среднего предпринимательства монопрофильных муниципальных образований на возмещение части затрат по уплате процентов по кредитам и договорам лизинга, первого взноса по договорам лизинга, по созданию и (или) развитию центров времяпрепровождения детей дошкольного возраста, на возмещение части затрат субъектов социального предпринимательства) в рамках подпрограммы "Развитие малого и среднего предпринимательства в Липецкой области на 2014-2020 годы" государственной программы Липецкой области "Модернизация и инновационное развитие экономики Липецкой области"</t>
  </si>
  <si>
    <t xml:space="preserve">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 в рамках подпрограммы "Энергосбережение и повышение энергетической эффективности" государственной программы Липецкой области "Энергоэффективность и развитие энергетики в Липецкой области" </t>
  </si>
  <si>
    <t xml:space="preserve">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t>
  </si>
  <si>
    <t>01 6 05 R0273 - обл</t>
  </si>
  <si>
    <t>01 6 05 R0273 - фед</t>
  </si>
  <si>
    <t>годовой  план  МБТ_I  часть)</t>
  </si>
  <si>
    <t>отклонение  от  годового  плана</t>
  </si>
  <si>
    <t>отклонение  от  КС</t>
  </si>
  <si>
    <t>УТОЧНЕННЫЙ  ПЛАН  И  ИСПОЛНЕНИЕ  ПО  СРЕДСТВАМ  ФЕДЕРАЛЬНОГО  БЮДЖЕТА</t>
  </si>
  <si>
    <t>предоставление субсидий местным бюджетам на реализацию муниципальных программ, направленных на развитие газификации в сельской местности</t>
  </si>
  <si>
    <t>отклонение  от  уточнений  МБТ</t>
  </si>
  <si>
    <t>11 4 07 86275</t>
  </si>
  <si>
    <t>11 4 08 86276</t>
  </si>
  <si>
    <t>Предоставление субсидии местным бюджетам для реализации муниципальных программ развития малого и среднего предпринимательства в части предоставления субсидий субъектам малого и среднего предпринимательства монопрофильных муниципальных образований на возмещение части затрат по уплате процентов по кредитам и договорам лизинга, первого взноса по договорам лизинга, по созданию и (или) развитию центров времяпрепровождения детей дошкольного возраста, на возмещение части затрат субъектов социального предпринимательства в рамках подпрограммы "Развитие малого и среднего предпринимательства в Липецкой области на 2014-2020 годы" государственной программы Липецкой области "Модернизация и инновационное развитие экономики Липецкой области"</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</si>
  <si>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(000 2 02 20299 00 0000 151)</t>
  </si>
  <si>
    <t>Субсидии бюджетам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</si>
  <si>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(000 2 02 20299 10 0000 151)</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</si>
  <si>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(000 2 02 20299 13 0000 151)</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</si>
  <si>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(000 2 02 20299 04 0000 151)</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</si>
  <si>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(000 2 02 20299 04 0000 151)</t>
  </si>
  <si>
    <t xml:space="preserve">Субсидии бюджетам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</si>
  <si>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0703</t>
  </si>
  <si>
    <t>Дополнительное  образование  детей</t>
  </si>
  <si>
    <t>выборка  по  федеральным  с  "fed"</t>
  </si>
  <si>
    <t>генератор  отчетов  (Субсидия  МО  по  целевой  с  R с  fed)</t>
  </si>
  <si>
    <t>ОБЛАСТНЫЕ  БЕЗ  R</t>
  </si>
  <si>
    <t>просто субсидия</t>
  </si>
  <si>
    <t>распределенная субсидия</t>
  </si>
  <si>
    <t>Субсидии бюджетам поселений на софинансирование капитальных вложений в объекты муниципальной собственности</t>
  </si>
  <si>
    <t xml:space="preserve">межбюджетные трансферты, передаваемые бюджетам  поселений на  финансовое  обеспечение  дорожной  деятельности </t>
  </si>
  <si>
    <t>14 2 06 86090</t>
  </si>
  <si>
    <t>Предоставление субсидий местным бюджетам на реализацию муниципальных программ, направленных на приобретение подвижного состава для осуществления перевозок пассажиров автомобильным и городским наземным электрическим транспортом по муниципальным маршрутам регулярных перевозок в рамках подпрограммы "Развитие пассажирского транспорта общего пользования" государственной программы Липецкой области "Развитие транспортной системы Липецкой области"</t>
  </si>
  <si>
    <t>01 6 05 86310</t>
  </si>
  <si>
    <t>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 в рамках подпрограммы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</si>
  <si>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18 2 05 86790</t>
  </si>
  <si>
    <t>Предоставление субсидий местным бюджетам на реализацию муниципальных программ, направленных на совершенствование муниципального управления в рамках подпрограммы "Совершенствование государственной гражданской и муниципальной службы Липецкой области" государственной программы Липецкой области "Эффективное государственное управление и развитие муниципальной службы в Липецкой области"</t>
  </si>
  <si>
    <t>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t>
  </si>
  <si>
    <t>06 1 61 R4670 - обл</t>
  </si>
  <si>
    <t>06 1 61 R4670 - фед</t>
  </si>
  <si>
    <t>Целевая  статья  01 1 01 51760</t>
  </si>
  <si>
    <t>2.  Осуществление полномочий по обеспечению жильем отдельных категорий граждан, установленных Федеральным законом от 12 января 1995 года № 5-ФЗ "О ветеранах" в рамках  подпрограммы "Развитие мер социальной поддержки отдельных категорий населения" государственной программы Липецкой области "Социальная поддержка граждан, реализация семейно-демографической политики Липецкой области"  (ЦС 01 1 01 51350)</t>
  </si>
  <si>
    <t>Целевая  статья  06 1 62 R4670</t>
  </si>
  <si>
    <t>06 1 62 R4670 - обл</t>
  </si>
  <si>
    <t>06 1 62 R4670 - фед</t>
  </si>
  <si>
    <t>01 6 09 86800</t>
  </si>
  <si>
    <t>06 1 63 R4660 - обл</t>
  </si>
  <si>
    <t>06 1 63 R4660 - фед</t>
  </si>
  <si>
    <t>Целевая  статья  06 1 63 R4660</t>
  </si>
  <si>
    <t>06 1 62 R4670</t>
  </si>
  <si>
    <t>06 1 63 R4660</t>
  </si>
  <si>
    <t xml:space="preserve">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t>
  </si>
  <si>
    <t>3.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в рамках  подпрограммы "Развитие мер социальной поддержки отдельных категорий населения" государственной программы Липецкой области "Социальная поддержка граждан, реализация семейно-демографической политики Липецкой области"  (ЦС 01 1 01 51760)</t>
  </si>
  <si>
    <t>05 1 26 86160</t>
  </si>
  <si>
    <t xml:space="preserve">05 1 26 86160 </t>
  </si>
  <si>
    <t>01 6 04 86130</t>
  </si>
  <si>
    <t>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 в рамках подпрограммы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</si>
  <si>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 возмещение затрат по разработке проектно-сметной документации, по подготовке площадок для размещения резидентов и инфраструктуры технопарка, в том числе на проведение коммуникаций, строительство (реконструкцию) офисных и производственных площадей, по приобретению офисного и технологического оборудования в рамках подпрограммы "Развитие малого и среднего предпринимательства в Липецкой области на 2014-2020 годы" государственной программы Липецкой области "Модернизация и инновационное развитие экономики Липецкой области"</t>
  </si>
  <si>
    <t>Предоставление субсидий местным бюджетам на реализацию муниципальных программ, направленных на оснащение кинотеатров необходимым оборудованием для осуществления кинопоказов с подготовленным субтитрированием и тифлокомментированием в рамках подпрограммы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</si>
  <si>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субсидия  по  КОСГУ  310</t>
  </si>
  <si>
    <t>субвенция  МР</t>
  </si>
  <si>
    <t>12 2 04 86180</t>
  </si>
  <si>
    <t>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 в рамках подпрограммы "Развитие и модернизация электроэнергетики" государственной программы Липецкой области "Энергоэффективность и развитие энергетики в Липецкой области"</t>
  </si>
  <si>
    <t>08 6 09 86390</t>
  </si>
  <si>
    <t>16 2 09 86380</t>
  </si>
  <si>
    <t>Предоставление субсидий местным бюджетам на реализацию мероприятий муниципальных программ, направленных на организацию водоснабжения населения на территории городских округов в рамках подпрограммы «Улучшение качества жилищного фонда,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</si>
  <si>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Спорт высших достижений</t>
  </si>
  <si>
    <t>вид  расхода  523</t>
  </si>
  <si>
    <t>(виды  расхода  521  "Субсидии, за исключением субсидий на софинансирование капитальных вложений в объекты государственной (муниципальной) собственности",  522  "Субсидии на софинансирование капитальных вложений в объекты государственной (муниципальной) собственности"  и  523  "Консолидированные  субсидии")</t>
  </si>
  <si>
    <t>КС - 523</t>
  </si>
  <si>
    <t>ВР  523</t>
  </si>
  <si>
    <t>вид  расхода  523  "Консолидированные  субсидии"</t>
  </si>
  <si>
    <t>поддержка отрасли культуры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обеспечение инфраструктуры (в том числе строительство, реконструкцию и капитальный ремонт зданий), приобретение оборудования для оснащения учреждений и привлечение специалистов культурно-досуговой деятельности в целях обеспечения доступа к культурным ценностям и творческой самореализации жителей сельской местности)</t>
  </si>
  <si>
    <t>01 6 04 R0272 - обл</t>
  </si>
  <si>
    <t>01 6 04 R0272 - фед</t>
  </si>
  <si>
    <t>предоставление cубсидий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t>
  </si>
  <si>
    <t>01 6 04 R0272</t>
  </si>
  <si>
    <t>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(предоставление cубсидий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в рамках подпрограммы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</si>
  <si>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0605</t>
  </si>
  <si>
    <t>Другие вопросы в области охраны окружающей среды</t>
  </si>
  <si>
    <t>Предоставление субсидий местным бюджетам на реализацию муниципальных программ, направленных на создание условий для предоставления транспортных услуг населению и организацию транспортного обслуживания населения в границах  поселения, городского округа, между поселениями в границах муниципального района, на садоводческих маршрутах в рамках подпрограммы "Развитие пассажирского транспорта общего пользования" государственной программы Липецкой области "Развитие транспортной системы Липецкой области"</t>
  </si>
  <si>
    <t>14 1 08 86300</t>
  </si>
  <si>
    <t>Предоставление субсидий местным бюджетам на реализацию муниципальных программ, направленных на обеспечение дорожной деятельности в части строительства (реконструкции) уникальных искусственных дорожных сооружений в рамках подпрограммы "Развитие дорожного комплекса Липецкой области" государственной программы Липецкой области "Развитие транспортной системы Липецкой области"</t>
  </si>
  <si>
    <t>Прочие межбюджетные трансферты, передаваемые бюджетам сельских поселений  (2 02 49999 10 0000 150)</t>
  </si>
  <si>
    <t>Прочие межбюджетные трансферты, передаваемые бюджетам городских поселений  (2 02 49999 13 0000 150)</t>
  </si>
  <si>
    <t>Прочие межбюджетные трансферты, передаваемые бюджетам городских округов  (2 02 49999 04 0000 150)</t>
  </si>
  <si>
    <t>Прочие межбюджетные трансферты, передаваемые бюджетам муниципальных районов  (2 02 49999 05 0000 150)</t>
  </si>
  <si>
    <t>Субвенции  бюджетам  на  государственную  регистрацию  актов  гражданского  состояния   (000 2 02 35930 00 0000 150)</t>
  </si>
  <si>
    <t>Субвенции  бюджетам  городских  округов  на  государственную  регистрацию  актов  гражданского  состояния    (000 2 02 35930 04 0000 150)</t>
  </si>
  <si>
    <t>Субвенции  бюджетам  муниципальных  районов  на  государственную  регистрацию  актов  гражданского  состояния (000 2 02 35930 05 0000 150)</t>
  </si>
  <si>
    <t>Субвенции бюджетам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00 0000 150)</t>
  </si>
  <si>
    <t>Субвенции бюджетам городских округов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04 0000 150)</t>
  </si>
  <si>
    <t>Субвенции бюджетам муниципальных районов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05 0000 150)</t>
  </si>
  <si>
    <t>Субвенции бюджетам на обеспечение жильем отдельных категорий граждан, установленных федеральным законом от 12 января 1995 года № 5-ФЗ "О ветеранах" (000 2 02 35135 00 0000 150)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</si>
  <si>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(000 2 02 35135 04 0000 150)</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</si>
  <si>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 5-ФЗ "О ветеранах"  (000 2 02 35135 05 0000 150)</t>
  </si>
  <si>
    <t>Субвенции бюджетам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00 0000 150)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</si>
  <si>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04 0000 150)</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</si>
  <si>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05 0000 150)</t>
  </si>
  <si>
    <t>Субвенции бюджетам на составление (изменение) списков кандидатов в присяжные заседатели федеральных судов общей юрисдикции в Российской Федерации     (000 2 02 35120 00 0000 150)</t>
  </si>
  <si>
    <t xml:space="preserve"> 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  (000 2 02 35120 04 0000 150)</t>
  </si>
  <si>
    <t xml:space="preserve"> 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   (000 2 02 35120 05 0000 150)</t>
  </si>
  <si>
    <t>Субвенции бюджетам на осуществление первичного  воинского учета на территориях, где отсутствуют военные комиссариаты    (000 2 02 35118 00 0000 150)</t>
  </si>
  <si>
    <t>Субвенции бюджетам сельских поселений на осуществление первичного воинского учета на территориях, где отсутствуют военные комиссариаты  (000 2 02 35118 10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</si>
  <si>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(000 2 02 30029 00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</si>
  <si>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(000 2 02 30029 04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</si>
  <si>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(000 2 02 30029 05 0000 150)</t>
  </si>
  <si>
    <t>Субвенции бюджетам муниципальных образований на содержание ребенка в семье опекуна и приемной семье, а также вознаграждение, причитающееся приемному родителю       (000 2 02 30027 00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</si>
  <si>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       (000 2 02 30027 04 0000 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</si>
  <si>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       (000 2 02 30027 05 0000 150)</t>
  </si>
  <si>
    <t>Субвенции местным бюджетам на выполнение передаваемых полномочий субъектов  Российской  Федерации   (000 2 02 30024 00 0000 150)</t>
  </si>
  <si>
    <t>Субвенции бюджетам городских округов на выполнение передаваемых полномочий субъектов  Российской  Федерации  (000 2 02 30024 04 0000 150)</t>
  </si>
  <si>
    <t>Субвенции бюджетам муниципальных районов на выполнение передаваемых полномочий субъектов  Российской  Федерации  (000 2 02 30024 05 0000 150)</t>
  </si>
  <si>
    <t>Прочие  субсидии    ( 000 2 02 29999 00 0000 150 )</t>
  </si>
  <si>
    <t>Прочие  субсидии  бюджетам  сельских  поселений  (000 2 02 29999 10 0000 150)</t>
  </si>
  <si>
    <t>Прочие  субсидии  бюджетам  городских  поселений  (000 2 02 29999 13 0000 150)</t>
  </si>
  <si>
    <t>Прочие  субсидии  бюджетам  городских  округов      ( 000 2 02 29999 04 0000 150 )</t>
  </si>
  <si>
    <t>Прочие  субсидии  бюджетам  муниципальных  районов      ( 000 2 02 29999 05 0000 150 )</t>
  </si>
  <si>
    <t>Субвенции бюджетам бюджетной системы Российской Федерации  (000 2 02 30000 00 000 150)</t>
  </si>
  <si>
    <t>Иные межбюджетные трансферты (000 2 02 04000 00 0000 150)</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</si>
  <si>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    ( 000 2 02 25520 00 0000 150 )</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</si>
  <si>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   ( 000 2 02 25520 04 0000 150 )</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</si>
  <si>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   ( 000 2 02 25520 05 0000 150 )</t>
  </si>
  <si>
    <t>Субсидия бюджетам на поддержку отрасли культуры    ( 000 2 02 25519 00 0000 150 )</t>
  </si>
  <si>
    <t>Субсидия бюджетам городских округов на поддержку отрасли культуры    ( 000 2 02 25519 04 0000 150 )</t>
  </si>
  <si>
    <t>Субсидия бюджетам муниципальных районов на поддержку отрасли культуры    ( 000 2 02 25519 05 0000 150 )</t>
  </si>
  <si>
    <t>Субсидия бюджетам сельских поселений на поддержку отрасли культуры    (000 2 02 25519 10 0000 150)</t>
  </si>
  <si>
    <t>Субсидия бюджетам городских поселений на поддержку отрасли культуры    (000 2 02 25519 13 0000 150)</t>
  </si>
  <si>
    <t xml:space="preserve">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00 0000 150) </t>
  </si>
  <si>
    <t xml:space="preserve">Субсидии бюджетам городских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04 0000 150) </t>
  </si>
  <si>
    <t xml:space="preserve">Субсидии бюджетам муниципальных районов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05 0000 150) </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</si>
  <si>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00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</si>
  <si>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04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</si>
  <si>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05 0000 150)</t>
  </si>
  <si>
    <t>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10 0000 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</si>
  <si>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13 0000 150)</t>
  </si>
  <si>
    <t xml:space="preserve">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00 0000 150)  </t>
  </si>
  <si>
    <t xml:space="preserve">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04 0000 150)  </t>
  </si>
  <si>
    <t xml:space="preserve">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05 0000 150)  </t>
  </si>
  <si>
    <t xml:space="preserve">Субсидии бюджетам сельских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10 0000 150)  </t>
  </si>
  <si>
    <t xml:space="preserve">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13 0000 150)  </t>
  </si>
  <si>
    <t>Дотации  на  выравнивание  бюджетной  обеспеченности   (000 2 02 15001 00 0000 150)</t>
  </si>
  <si>
    <t>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 в рамках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t>
  </si>
  <si>
    <t>20 1 06 86420</t>
  </si>
  <si>
    <t>ВР  540</t>
  </si>
  <si>
    <t>Предоставление субсидий местным бюджетам на реализацию муниципальных программ, направленных на создание условий для обеспечения услугами торговли и бытового обслуживания поселений, входящих в состав муниципального района в рамках подпрограммы "Развитие торговли Липецкой области на 2014-2016 годы и на период до 2024 года"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</si>
  <si>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Субсидии местным бюджетам на реализацию  муниципальных программ, направленных на развитие  сельскохозяйственного производства в поселениях в части стимулирования развития заготовительной деятельности и (или) первичной переработки сельскохозяйственной продукции в рамках подпрограммы "Развитие сельскохозяйственного производства в поселениях в части стимулирования развития заготовительной деятельности и (или) первичной переработки сельскохозяйственной продукции на 2014-2024 годы"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</si>
  <si>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генератор  отчетов  (иные  МБТ  по  целевой  с  R с  fed)</t>
  </si>
  <si>
    <t>06 1 A2 86280</t>
  </si>
  <si>
    <t xml:space="preserve">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городских округов и поселений в части подготовки кадров учреждений культуры в рамках регионального проекта "Творческие люди"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t>
  </si>
  <si>
    <t>05 5 E1 55200</t>
  </si>
  <si>
    <t>05 5 E1 55200 - фед</t>
  </si>
  <si>
    <t>Создание новых мест в общеобразовательных организациях в рамках регионального проекта "Современная школа" подпрограммы "Создание современной образовательной среды для школьников" государственной программы Липецкой области "Развитие образования Липецкой области"</t>
  </si>
  <si>
    <t>05 1 Е2 50970</t>
  </si>
  <si>
    <t>Целевая  статья  05 1 Е2 50970</t>
  </si>
  <si>
    <t>05 1 Е2 50970 - обл</t>
  </si>
  <si>
    <t>05 1 Е2 50970 - фед</t>
  </si>
  <si>
    <t>05 1 Р2 52320</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</si>
  <si>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регионального проекта "Содействие занятости женщин - создание условий дошкольного образования для детей в возрасте до трех лет"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t>
  </si>
  <si>
    <t>06 1 A1 55196</t>
  </si>
  <si>
    <t>06 1 A1 55196 - обл</t>
  </si>
  <si>
    <t>06 1 A1 55196 - фед</t>
  </si>
  <si>
    <t xml:space="preserve">Поддержка отрасли культуры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обеспечение инфраструктуры (в том числе строительство, реконструкцию и капитальный ремонт зданий), приобретение оборудования для оснащения учреждений и привлечение специалистов культурно-досуговой деятельности в целях обеспечения доступа к культурным ценностям и творческой самореализации жителей сельской местности) в рамках регионального проекта  "Культурная среда"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t>
  </si>
  <si>
    <t>Целевая  статья  05 1 Р2 52320</t>
  </si>
  <si>
    <t>05 1 Р2 52320 - обл</t>
  </si>
  <si>
    <t>05 1 Р2 52320 - фед</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</si>
  <si>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00 0000 150)</t>
  </si>
  <si>
    <t>Субвенции бюджетам на осуществление первичного  воинского учета на территориях, где отсутствуют военные комиссариаты  ( 000 2 02 35118 00 0000 150 )</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</si>
  <si>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   ( 000 2 02 35120 00 0000 150 )</t>
  </si>
  <si>
    <t>Субвенции бюджетам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00 0000 150)</t>
  </si>
  <si>
    <t>Субвенции  бюджетам  на  государственную  регистрацию  актов  гражданского  состояния    ( 000 2 02 35930 00 0000 150 )</t>
  </si>
  <si>
    <t>Субвенции бюджетам на обеспечение жильем отдельных категорий граждан, установленных федеральным законом от 12 января 1995 года № 5-ФЗ "О ветеранах"   (000 2 02 35135  00 0000 150)</t>
  </si>
  <si>
    <t>Иные межбюджетные трансферты ( 000 2 02 40000 00 0000 150 )</t>
  </si>
  <si>
    <t>1. 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(предоставление cубсидий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в рамках подпрограммы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  (ЦС  01 6 04 R0272)</t>
  </si>
  <si>
    <t>2. 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в рамках подпрограммы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  (ЦС  01 6 05 R0273)</t>
  </si>
  <si>
    <t>04 1 Р5 52281</t>
  </si>
  <si>
    <t>Реализация мероприятий, направленных на оснащение объектов спортивной инфраструктуры спортивно-технологическим оборудованием (на создание или модернизацию футбольных полей с искусственным покрытием и легкоатлетическими беговыми дорожками) в рамках регионального проекта "Спорт-норма жизни" подпрограммы "Развитие спорта высших достижений и системы подготовки спортивного резерва Липецкой области" государственной программы Липецкой области "Развитие физической культуры и спорта Липецкой области"</t>
  </si>
  <si>
    <t>04 1 Р5 52281 - фед</t>
  </si>
  <si>
    <t>Субсидии бюджетам на оснащение объектов спортивной инфраструктуры спортивно-технологическим оборудованием  (000 2 02 25228 00 0000 150)</t>
  </si>
  <si>
    <t>Субсидии бюджетам городских округов на оснащение объектов спортивной инфраструктуры спортивно-технологическим оборудованием  (000 2 02 25228 04 0000 150)</t>
  </si>
  <si>
    <t>Субсидии бюджетам муниципальных районов на оснащение объектов спортивной инфраструктуры спортивно-технологическим оборудованием  (000 2 02 25228 05 0000 150)</t>
  </si>
  <si>
    <t>областные  средства  по  ЦС  с  R  и  по  5</t>
  </si>
  <si>
    <t>федеральные  средства  по  ЦС  с  R  и  по  5</t>
  </si>
  <si>
    <t>форма  0503324</t>
  </si>
  <si>
    <t xml:space="preserve">УТОЧНЕННЫЙ  ПЛАН  И  ИСПОЛНЕНИЕ  ПО  МЕЖБЮДЖЕТНЫМ  ТРАНСФЕРТАМ  </t>
  </si>
  <si>
    <t>Закон  Липецкой  области  от  27.12.2007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ежемесячной  социальной  выплаты  в  связи  с  усыновлением  (удочерением)  ребенка - сироты  или  ребенка,  оставшегося  без  попечения  родителей</t>
  </si>
  <si>
    <t>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социальных выплат детям из многодетных семей, обучающимся в муниципальных общеобразовательных организациях и в частных общеобразовательных организациях, имеющих государственную аккредитацию, для обеспечения школьной формой либо заменяющим ее комплектом детской одежды для посещения школьных занятий и спортивной формой</t>
  </si>
  <si>
    <t xml:space="preserve">    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социальных выплат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</si>
  <si>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 xml:space="preserve">16 2 G1 52421 </t>
  </si>
  <si>
    <t>Реализация мероприятий по ликвидации несанкционированных свалок в границах городов и наиболее опасных объектов накопленного экологического вреда окружающей среде (предоставление субсидий местным бюджетам на реализацию муниципальных программ, направленных на ликвидацию несанкционированных свалок в границах городов и наиболее опасных объектов накопленного экологического вреда окружающей среде) в рамках регионального проекта "Чистая страна" подпрограммы «Обращение с отходами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t>
  </si>
  <si>
    <t>Целевая  статья  16 2 G1 52421</t>
  </si>
  <si>
    <t>16 2 G1 52421 - обл</t>
  </si>
  <si>
    <t>16 2 G1 52421 - фед</t>
  </si>
  <si>
    <t>05 5 Е1 52300</t>
  </si>
  <si>
    <t>Целевая  статья  05 5 Е1 52300</t>
  </si>
  <si>
    <t>05 5 Е1 52300 - обл</t>
  </si>
  <si>
    <t>05 5 Е1 52300 - фед</t>
  </si>
  <si>
    <t>Создание новых мест в общеобразовательных организациях, расположенных в сельской местности и поселках городского типа в рамках регионального проекта "Современная школа" подпрограммы "Создание современной образовательной среды для школьников" государственной программы Липецкой области "Развитие образования Липецкой области"</t>
  </si>
  <si>
    <t>04 1 Р5 51391</t>
  </si>
  <si>
    <t>Целевая  статья  04 1 Р5 51391</t>
  </si>
  <si>
    <t>04 1 Р5 51391 - обл</t>
  </si>
  <si>
    <t>04 1 Р5 51391 - фед</t>
  </si>
  <si>
    <t>04 2 Р5 52292</t>
  </si>
  <si>
    <t>Субсидии бюджетам на приобретение спортивного оборудования и инвентаря для приведения организаций спортивной подготовки в нормативное состояние  (000 2 02 25229 00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</si>
  <si>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  (000 2 02 25229 04 0000 150)</t>
  </si>
  <si>
    <t>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  (000 2 02 25229 05 0000 150)</t>
  </si>
  <si>
    <t>04 1 Р5 52282</t>
  </si>
  <si>
    <t>04 1 Р5 52292 - обл</t>
  </si>
  <si>
    <t>04 1 Р5 52292 - фед</t>
  </si>
  <si>
    <t>11 4 I5 55276</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</si>
  <si>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 возмещение затрат по разработке проектно-сметной документации, по подготовке площадок для размещения резидентов и инфраструктуры технопарка, в том числе на проведение коммуникаций, строительство (реконструкцию) офисных и производственных площадей, по приобретению офисного и технологического оборудования) в рамках регионального проекта "Акселерация субъектов малого и среднего предпринимательства" подпрограммы "Развитие малого и среднего предпринимательства в Липецкой области на 2014-2020 годы" государственной программы Липецкой области "Модернизация и инновационное развитие экономики Липецкой области"</t>
  </si>
  <si>
    <t>всего  план</t>
  </si>
  <si>
    <t>всего  факт</t>
  </si>
  <si>
    <t>ГО  план</t>
  </si>
  <si>
    <t>ГО  факт</t>
  </si>
  <si>
    <t>МР  план</t>
  </si>
  <si>
    <t>МР  факт</t>
  </si>
  <si>
    <t>ГП  план</t>
  </si>
  <si>
    <t>ГП  факт</t>
  </si>
  <si>
    <t>СП  план</t>
  </si>
  <si>
    <t>СП  факт</t>
  </si>
  <si>
    <t>Всего  МБТ</t>
  </si>
  <si>
    <t>Дотация</t>
  </si>
  <si>
    <t>выравнивание</t>
  </si>
  <si>
    <t>сбалансированность</t>
  </si>
  <si>
    <t>гранты</t>
  </si>
  <si>
    <t>Субсидия</t>
  </si>
  <si>
    <t>310 КОСГУ</t>
  </si>
  <si>
    <t>Субвенция</t>
  </si>
  <si>
    <t>Иные  МБТ</t>
  </si>
  <si>
    <t>план</t>
  </si>
  <si>
    <t xml:space="preserve">Целевая  статья  01 6 04 R0272  </t>
  </si>
  <si>
    <t xml:space="preserve">Целевая  статья  01 6 05 R0273  </t>
  </si>
  <si>
    <t xml:space="preserve">Целевая  статья  05 1 Е2 50970  </t>
  </si>
  <si>
    <t xml:space="preserve">Целевая  статья  04 1 Р5 51391  </t>
  </si>
  <si>
    <t xml:space="preserve">Целевая  статья  04 1 Р5 52281 </t>
  </si>
  <si>
    <t xml:space="preserve">Целевая  статья  04 1 Р5 52282  </t>
  </si>
  <si>
    <t xml:space="preserve">Целевая  статья  04 2 Р5 52292  </t>
  </si>
  <si>
    <t xml:space="preserve">Целевая  статья  05 5 E1 52300 </t>
  </si>
  <si>
    <t xml:space="preserve">Целевая  статья  05 1 Р2 52320 </t>
  </si>
  <si>
    <t xml:space="preserve">Целевая  статья  16 2 G1 52421 </t>
  </si>
  <si>
    <t xml:space="preserve">Целевая  статья  06 1 63 R4660  </t>
  </si>
  <si>
    <t xml:space="preserve">Целевая  статья  06 1 62 R4670  </t>
  </si>
  <si>
    <t xml:space="preserve">Целевая  статья  06 1 A1 55196 </t>
  </si>
  <si>
    <t xml:space="preserve">Целевая  статья  05 5 E1 55200  </t>
  </si>
  <si>
    <t>08 1 01 85010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</si>
  <si>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(000 2 02 20299 00 0000 150)</t>
  </si>
  <si>
    <t>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реформированию жилищно-коммунального хозяйства в рамках регионального проекта "Обеспечение устойчивого сокращения непригодного для проживания жилищного фонда" подпрограммы «Улучшение качества жилищного фонда,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</si>
  <si>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 xml:space="preserve">Субсидии бюджетам на софинансирование капитальных вложений в объекты муниципальной собственности  (000 2 02 20077 00 0000 150)  </t>
  </si>
  <si>
    <t xml:space="preserve">Субсидии бюджетам городских округов на софинансирование капитальных вложений в объекты муниципальной собственности   (000 2 02 20077 04 0000 150)  </t>
  </si>
  <si>
    <t xml:space="preserve">Субсидии бюджетам муниципальных районов на софинансирование капитальных вложений в объекты муниципальной собственности   (000 2 02 20077 05 0000 150)   </t>
  </si>
  <si>
    <t xml:space="preserve">Субсидии бюджетам сельских поселений на софинансирование капитальных вложений в объекты муниципальной собственности   (000 2 02 20077 10 0000 150)     </t>
  </si>
  <si>
    <t xml:space="preserve">Субсидии бюджетам городских поселений на софинансирование капитальных вложений в объекты муниципальной собственности   (000 2 02 20077 13 0000 150)     </t>
  </si>
  <si>
    <t>создание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t>
  </si>
  <si>
    <t>4. 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городских округов на реализацию муниципальных программ, направленных на создание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 в рамках регионального проекта "Спорт-норма жизни" подпрограммы "Развитие физической культуры и массового спорта" государственной программы Липецкой области "Развитие физической культуры и спорта Липецкой области"  (ЦС  04 1 Р5 52281)</t>
  </si>
  <si>
    <t>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городских округов на реализацию муниципальных программ, направленных на создание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 в рамках регионального проекта "Спорт-норма жизни" подпрограммы "Развитие физической культуры и массового спорта" государственной программы Липецкой области "Развитие физической культуры и спорта Липецкой области"</t>
  </si>
  <si>
    <t>5.  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городских округов на реализацию муниципальных программ, направленных на создание или модернизация футбольных полей с искусственным покрытием) в рамках регионального проекта "Спорт-норма жизни" подпрограммы "Развитие спорта высших достижений и системы подготовки спортивного резерва Липецкой области" государственной программы Липецкой области "Развитие физической культуры и спорта Липецкой области" (ЦС  04 1 Р5 52282)</t>
  </si>
  <si>
    <t>создание или модернизация футбольных полей с искусственным покрытием</t>
  </si>
  <si>
    <t xml:space="preserve">Реализация мероприятий, направленных на приобретение спортивного оборудования и инвентаря для приведения организаций спортивной подготовки в нормативное состояние (субсидии бюджетам муниципальных районов и городских округов на реализацию муниципальных программ, направленных на совершенствование спортивной подготовки по хоккею) в рамках регионального проекта "Спорт-норма жизни" подпрограммы "Развитие спорта высших достижений и системы подготовки спортивного резерва Липецкой области" государственной программы Липецкой области "Развитие физической культуры и спорта Липецкой области" </t>
  </si>
  <si>
    <t>совершенствование спортивной подготовки по хоккею</t>
  </si>
  <si>
    <t xml:space="preserve">Финансовое обеспечение дорожной деятельности в рамках реализации национального проекта «Безопасные и качественные автомобильные дороги» (предоставление иных межбюджетных трансфертов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Липецкой агломерации) в рамках регионального проекта "Дорожная сеть" подпрограммы "Развитие дорожного комплекса Липецкой области" государственной программы Липецкой области "Развитие транспортной системы Липецкой области" </t>
  </si>
  <si>
    <t>предоставление иных межбюджетных трансфертов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Липецкой агломерации</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</si>
  <si>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   (000 2 02 45393 00 0000 150 )</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</si>
  <si>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   (000 2 02 45393 04 0000 150 )</t>
  </si>
  <si>
    <t xml:space="preserve">Межбюджетные трансферты, передаваемые бюджетам поселений на финансовое обеспечение дорожной деятельности в рамках реализации национального проекта "Безопасные и качественные автомобильные дороги"   </t>
  </si>
  <si>
    <t>Межбюджетные трансферты, передаваемые бюджетам муниципальных районов на финансовое обеспечение дорожной деятельности в рамках реализации национального проекта "Безопасные и качественные автомобильные дороги"   (000 2 02 45393 05 0000 150 )</t>
  </si>
  <si>
    <t>Межбюджетные трансферты, передаваемые бюджетам сельских поселений на финансовое обеспечение дорожной деятельности в рамках реализации национального проекта "Безопасные и качественные автомобильные дороги"   (000 2 02 45393 10 0000 150 )</t>
  </si>
  <si>
    <t>Межбюджетные трансферты, передаваемые бюджетам городских поселений на финансовое обеспечение дорожной деятельности в рамках реализации национального проекта "Безопасные и качественные автомобильные дороги"   (000 2 02 45393 13 0000 150 )</t>
  </si>
  <si>
    <t>05 1 12 86590</t>
  </si>
  <si>
    <t>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 в рамках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t>
  </si>
  <si>
    <t>Предоставление субсидии бюджетам муниципальных районов и городских округов на реализацию муниципальных программ, направленных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 в рамках регионального проекта "Спорт-норма жизни" подпрограммы "Развитие спорта высших достижений и системы подготовки спортивного резерва Липецкой области" государственной программы Липецкой области "Развитие физической культуры и спорта Липецкой области"</t>
  </si>
  <si>
    <t>04 2 Р5 86820</t>
  </si>
  <si>
    <t xml:space="preserve">Предоставление субсидии бюджетам муниципальных районов и городских округов на реализацию муниципальных программ, направленных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 в рамках регионального проекта "Спорт-норма жизни" подпрограммы "Развитие спорта высших достижений и системы подготовки спортивного резерва Липецкой области" государственной программы Липецкой области "Развитие физической культуры и спорта Липецкой области"- </t>
  </si>
  <si>
    <t>04 1 P5 54951</t>
  </si>
  <si>
    <t>Реализация федеральной целевой программы «Развитие физической культуры и спорта в Российской Федерации на 2016 - 2020 годы" (предоставление субсидий бюджетам муниципальных районов и городских округов на реализацию муниципальных программ, направленных на строительство спортивных объектов шаговой доступности) в рамках регионального проекта "Спорт-норма жизни" подпрограммы "Развитие физической культуры и массового спорта" государственной программы Липецкой области "Развитие физической культуры и спорта Липецкой области"</t>
  </si>
  <si>
    <t>вид  расхода  522</t>
  </si>
  <si>
    <t>07 1 06 86860</t>
  </si>
  <si>
    <t>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 в рамках подпрограммы "Развитие сети кооперативов всех направлений на 2014 - 2024 годы" государственной программы Липецкой области "Развитие кооперации и коллективных форм собственности в Липецкой области"</t>
  </si>
  <si>
    <t>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 в рамках подпрограммы "Развитие сети кооперативов всех направлений на 2014 - 2024 годы" государственной программы Липецкой области "Развитие кооперации и коллективных форм собственности в Липецкой области"</t>
  </si>
  <si>
    <t>20 1 08 87070</t>
  </si>
  <si>
    <t>10 1 13 R2991</t>
  </si>
  <si>
    <t>Целевая  статья  10 1 10 R2991</t>
  </si>
  <si>
    <t xml:space="preserve">Субсидии бюджетам поселений на обустройство и восстановление воинских захоронений, находящихся в государственной собственности </t>
  </si>
  <si>
    <t>10 1 10 R2991 - обл</t>
  </si>
  <si>
    <t>10 1 10 R2991 - фед</t>
  </si>
  <si>
    <t>Массовый спорт</t>
  </si>
  <si>
    <t>08 4 F1 50210</t>
  </si>
  <si>
    <t>Стимулирование программ развития жилищного строительства в рамках регионального проекта "Жилье" подпрограммы "Стимулирование жилищного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</si>
  <si>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Целевая  статья  08 4 F1 50210</t>
  </si>
  <si>
    <t>Субсидии бюджетам на реализацию мероприятий по стимулированию программ развития жилищного строительства субъектов Российской Федерации   (000 2 02 25021 00 0000 150)</t>
  </si>
  <si>
    <t>08 4 F1 50210 - обл</t>
  </si>
  <si>
    <t>08 4 F1 50210 - фед</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</si>
  <si>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   (000 2 02 25021 04 0000 150)</t>
  </si>
  <si>
    <t>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   (000 2 02 25021 05 0000 150)</t>
  </si>
  <si>
    <t xml:space="preserve">10 3 05 86630 </t>
  </si>
  <si>
    <t>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 в рамках подпрограммы "Реализация государственной национальной политики в Липецкой области" государственной программы Липецкой области "Реализация внутренней политики Липецкой области"</t>
  </si>
  <si>
    <t>10 1 13 86620</t>
  </si>
  <si>
    <t>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подпрограммы "Содействие развитию гражданского общества, патриотического воспитания населения Липецкой области и реализация молодежной политики" государственной программы Липецкой области "Реализация внутренней политики Липецкой области"</t>
  </si>
  <si>
    <t>Межбюджетные трансферты, передаваемые бюджетам на создание виртуальных концертных залов  (000 2 02 45453 00 0000 150)</t>
  </si>
  <si>
    <t>Межбюджетные трансферты, передаваемые бюджетам городских округов на создание виртуальных концертных залов  (000 2 02 45453 04 0000 150)</t>
  </si>
  <si>
    <t>Межбюджетные трансферты, передаваемые бюджетам муниципальных районов на создание виртуальных концертных залов  (000 2 02 45453 05 0000 150)</t>
  </si>
  <si>
    <t>06 1 А3 54530 - обл</t>
  </si>
  <si>
    <t>06 1 А3 54530 - фед</t>
  </si>
  <si>
    <t xml:space="preserve">Целевая  статья  06 1 А3 54530 </t>
  </si>
  <si>
    <t>Межбюджетные трансферты, передаваемые бюджетам на создание модельных муниципальных библиотек  (000 2 02 45454 00 0000 150)</t>
  </si>
  <si>
    <t>Межбюджетные трансферты, передаваемые бюджетам городских округов на создание модельных муниципальных библиотек  (000 2 02 45454 04 0000 150)</t>
  </si>
  <si>
    <t>Межбюджетные трансферты, передаваемые бюджетам муниципальных районов на создание модельных муниципальных библиотек  (000 2 02 45454 05 0000 150)</t>
  </si>
  <si>
    <t>06 1 А1 54540 - обл</t>
  </si>
  <si>
    <t>06 1 А1 54540 - фед</t>
  </si>
  <si>
    <t>Целевая  статья  06 1 А1 54540</t>
  </si>
  <si>
    <t xml:space="preserve"> 06 1 А1 54540</t>
  </si>
  <si>
    <t>Создание модельных муниципальных библиотек в рамках регионального проекта  "Культурная среда"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t>
  </si>
  <si>
    <t xml:space="preserve">Создание виртуальных концертных залов в рамках регионального проекта  "Цифровая культура"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t>
  </si>
  <si>
    <t>06 1 А3 54530</t>
  </si>
  <si>
    <t>04 1 41 86440</t>
  </si>
  <si>
    <t>Предоставление субсидий бюджетам муниципальных районов и городских округов на реализацию муниципальных программ, направленных на обеспечение условий для развития физической культуры и массового спорта в рамках подпрограммы "Развитие физической культуры и массового спорта на 2014-2020 годы" государственной программы Липецкой области "Развитие физической культуры и спорта Липецкой области"</t>
  </si>
  <si>
    <t>Реализация мероприятий, направленных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(субсидии бюджетам муниципальных районов и городских округов на реализацию муниципальных программ, направленных на строительство и реконструкцию спортивной инфраструктуры (на строительство и реконструкцию иных физкультурно-оздоровительных комплексов и центров для массового спорта) в рамках регионального проекта "Спорт-норма жизни" подпрограммы "Развитие физической культуры и массового спорта" государственной программы Липецкой области "Развитие физической культуры и спорта Липецкой области"</t>
  </si>
  <si>
    <t>3. Реализация мероприятий, направленных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(субсидии бюджетам муниципальных районов и городских округов на реализацию муниципальных программ, направленных на строительство и реконструкцию спортивной инфраструктуры (на строительство и реконструкцию иных физкультурно-оздоровительных комплексов и центров для массового спорта) в рамках регионального проекта "Спорт-норма жизни" подпрограммы "Развитие физической культуры и массового спорта" государственной программы Липецкой области "Развитие физической культуры и спорта Липецкой области"  (ЦС  04 1 Р5 51391)</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</si>
  <si>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  (000 2 02 27139 00 0000 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</si>
  <si>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  (000 2 02 25097 00 0000 150)</t>
  </si>
  <si>
    <t>Субсидии бюджетам на создание новых мест в общеобразовательных организациях, расположенных в сельской местности и поселках городского типа  (000 2 02 25230 00 0000 150)</t>
  </si>
  <si>
    <t>Субсидии бюджетм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(000 2 02 25232 00 0000 150)</t>
  </si>
  <si>
    <t>Реализация мероприятий, направленных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(субсидии бюджетам муниципальных районов и городских округов на реализацию муниципальных программ, направленных на строительство и реконструкцию спортивной инфраструктуры (на строительство и реконструкцию иных физкультурно-оздоровительных комплексов и центров для массового спорта)</t>
  </si>
  <si>
    <t>Субсидии бюджетам городских округов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  (000 2 02 27139 00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</si>
  <si>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  (000 2 02 27139 00 0000 150)</t>
  </si>
  <si>
    <t>20 1 F2 55550</t>
  </si>
  <si>
    <t>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подпрограммы "Развитие благоустройства территорий муниципальных образований Липецкой области" государственной программы Липецкой области "Формирование современной городской среды в Липецкой области"</t>
  </si>
  <si>
    <t>Целевая  статья  20 1 F2 55550</t>
  </si>
  <si>
    <t>Реализация мероприятий, направленных на формирование современной городской среды</t>
  </si>
  <si>
    <t>20 1 F2 55550 - обл</t>
  </si>
  <si>
    <t>20 1 F2 55550 - фед</t>
  </si>
  <si>
    <t>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 в рамках  подпрограммы «Обращение с отходами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t>
  </si>
  <si>
    <t xml:space="preserve">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на территории муниципальных районов, городских округов и городских поселений в рамках подпрограммы «Обращение с отходами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t>
  </si>
  <si>
    <t>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 в рамках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t>
  </si>
  <si>
    <t>21 1 02 R5762</t>
  </si>
  <si>
    <t>21 2 01 R5763</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</si>
  <si>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благоустройство сельских территорий)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 </t>
  </si>
  <si>
    <t>21 2 05 R5766</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</si>
  <si>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 </t>
  </si>
  <si>
    <t>Целевая  статья  21 1 02 R5762</t>
  </si>
  <si>
    <t>предоставление субсидий местным бюджетам на реализацию муниципальных программ, направленных на строительство жилого помещения (жилого дома), предоставляемого гражданам, проживающим на сельских территориях, по договору найма жилого помещения</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</si>
  <si>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00 0000 150)</t>
  </si>
  <si>
    <t>Целевая  статья  21 2 01 R5763</t>
  </si>
  <si>
    <t>предоставление субсидий местным бюджетам на реализацию муниципальных программ, направленных на благоустройство сельских территорий</t>
  </si>
  <si>
    <t>Субсидии бюджетам на обеспечение комплексного развития сельских территорий  (000 2 02 25576 00 0000 150)</t>
  </si>
  <si>
    <t>Целевая  статья  21 2 05 R5766</t>
  </si>
  <si>
    <t>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t>
  </si>
  <si>
    <t>Дотации  бюджетам  городских  округов  на  выравнивание  бюджетной  обеспеченности из бюджета субъекта Российской Федерации  (000 2 02 15001 04 0000 150)</t>
  </si>
  <si>
    <t xml:space="preserve">Дотации  бюджетам  муниципальных  районов  на  выравнивание  бюджетной  обеспеченности из бюджета субъекта Российской Федерации  (000 2 02 15001 05 0000 150)  </t>
  </si>
  <si>
    <t>Дотации  бюджетам  сельских  поселений  на  выравнивание  бюджетной  обеспеченности   из бюджета субъекта Российской Федерации  (000 2 02 15001 10 0000 150)</t>
  </si>
  <si>
    <t>Дотации  бюджетам  городских  поселений  на  выравнивание  бюджетной  обеспеченности  из бюджета субъекта Российской Федерации  (000 2 02 15001 13 0000 150)</t>
  </si>
  <si>
    <t>Дотации (гранты) бюджетам за достижение показателей деятельности органов местного самоуправления  (000 2 02 16549 00 0000 150)</t>
  </si>
  <si>
    <t>Дотации (гранты) бюджетам городских округов за достижение показателей деятельности органов местного самоуправления  (000 2 02 16549 04 0000 150)</t>
  </si>
  <si>
    <t>Дотации (гранты) бюджетам муниципальных районов за достижение показателей деятельности органов местного самоуправления  (000 2 02 16549 05 0000 150)</t>
  </si>
  <si>
    <t xml:space="preserve">Дотации (гранты) бюджетам поселений за достижение показателей деятельности органов местного самоуправления </t>
  </si>
  <si>
    <t>Дотации (гранты) бюджетам городских поселений за достижение показателей деятельности органов местного самоуправления  (000 2 02 16549 13 0000 150)</t>
  </si>
  <si>
    <t>Дотации (гранты) бюджетам сельских поселений за достижение показателей деятельности органов местного самоуправления  (000 2 02 16549 10 0000 150)</t>
  </si>
  <si>
    <t>21 2 01 R5763 - фед</t>
  </si>
  <si>
    <t>Субсидии бюджетам городских поселений на обеспечение комплексного развития сельских территорий  (000 2 02 25576 13 0000 150)</t>
  </si>
  <si>
    <t>Субсидии бюджетам сельских поселений на обеспечение комплексного развития сельских территорий  (000 2 02 25576 10 0000 150)</t>
  </si>
  <si>
    <t xml:space="preserve">Субсидии бюджетам поселений на обеспечение комплексного развития сельских территорий  </t>
  </si>
  <si>
    <t>21 1 02 R5762 - фед</t>
  </si>
  <si>
    <t>21 2 05 R5766 - фед</t>
  </si>
  <si>
    <t>Субсидии бюджетам городских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13 0000 150)</t>
  </si>
  <si>
    <t>Субсидии бюджетам сельских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10 0000 150)</t>
  </si>
  <si>
    <t xml:space="preserve">Субсидии бюджетам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</si>
  <si>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 в рамках регионального проекта "Успех каждого ребенка"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t>
  </si>
  <si>
    <t>Прочие межбюджетные трансферты, передаваемые бюджетам  (000 2 02 49999 00 0000 150)</t>
  </si>
  <si>
    <t xml:space="preserve">Субсидии бюджетам на реализацию программ формирования современной городской среды   ( 000 2 02 25555 00 0000 150 )  </t>
  </si>
  <si>
    <t>Субсидии бюджетам на реализацию программ формирования современной городской среды  ( 000 2 02 25555 00 0000 150 )</t>
  </si>
  <si>
    <t>Субсидии бюджетам поселений на реализацию программ формирования современной городской среды</t>
  </si>
  <si>
    <t>Субсидии бюджетам сельских поселений на реализацию программ формирования современной городской среды   ( 000 2 02 25555 10 0000 150 )</t>
  </si>
  <si>
    <t>Субсидии бюджетам городских поселений на реализацию программ формирования современной городской среды   ( 000 2 02 25555 13 0000 150 )</t>
  </si>
  <si>
    <t>Субсидии бюджетам городских округов на реализацию программ формирования современной городской среды   ( 000 2 02 25555 04 0000 150 )</t>
  </si>
  <si>
    <t>Субсидии бюджетам муниципальных районов на реализацию программ формирования современной городской среды   ( 000 2 02 25555 05 0000 150 )</t>
  </si>
  <si>
    <t>Субсидии бюджетам на государственную поддержку малого и среднего предпринимательства в субъектах Российской Федерации  (000 2 02 25527 00 0000 150)</t>
  </si>
  <si>
    <t>Субсидии бюджетам городских округов на государственную поддержку малого и среднего предпринимательства в субъектах Российской Федерации  (000 2 02 25527 04 0000 150)</t>
  </si>
  <si>
    <t>Субсидии бюджетам муниципальных районов на государственную поддержку малого и среднего предпринимательства в субъектах Российской Федерации  (000 2 02 25527 05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</si>
  <si>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   (000 2 02 25467 00 0000 150)</t>
  </si>
  <si>
    <t xml:space="preserve">Субсидии бюджетам поселений на обеспечение развития и укрепления материально-технической базы домов культуры в населенных пунктах с числом жителей до 50 тысяч человек  </t>
  </si>
  <si>
    <t>Субсидии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   ( 000 2 02 25467 10 0000 150 )</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</si>
  <si>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      ( 000 2 02 25467 13 0000 150 )</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</si>
  <si>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    ( 000 2 02 25467 04 0000 150 )</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</si>
  <si>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      ( 000 2 02 25467 05 0000 150 )</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</si>
  <si>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   ( 000 2 02 25467 00 0000 150 )</t>
  </si>
  <si>
    <t>Субсидии бюджетм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(000 2 02 25232 04 0000 150)</t>
  </si>
  <si>
    <t>Субсидии бюджетм муниципальнх районов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(000 2 02 25232 05 0000 150)</t>
  </si>
  <si>
    <t>Субсидии бюджетам городских округов на создание новых мест в общеобразовательных организациях, расположенных в сельской местности и поселках городского типа  (000 2 02 25230 04 0000 150)</t>
  </si>
  <si>
    <t>Субсидии бюджетам муниципальных районов на создание новых мест в общеобразовательных организациях, расположенных в сельской местности и поселках городского типа  (000 2 02 25230 05 0000 150)</t>
  </si>
  <si>
    <t>Субсидии бюджетам городских округов на создание в общеобразовательных организациях, расположенных в сельской местности, условий для занятий физической культурой и спортом  (000 2 02 25097 04 0000 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</si>
  <si>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  (000 2 02 25097 05 0000 150)</t>
  </si>
  <si>
    <t>Субсидии бюджетам на реализацию мероприятий государственной программы Российской Федерации "Доступная среда"   (000 2 02 25027 00 0000 150)</t>
  </si>
  <si>
    <t>Субсидии бюджетам на реализацию мероприятий государственной программы Российской Федерации "Доступная среда"  (000 2 02 25027 00 0000 150)</t>
  </si>
  <si>
    <t>Субсидии бюджетам городских округов на реализацию мероприятий государственной программы Российской Федерации "Доступная среда"  (000 2 02 25027 04 0000 150)</t>
  </si>
  <si>
    <t>Субсидии бюджетам муниципальных районов на реализацию мероприятий государственной программы Российской Федерации "Доступная среда"  (000 2 02 25027 05 0000 150)</t>
  </si>
  <si>
    <t>Субсидии бюджетам бюджетной системы Российской Федерации (межбюджетные субсидии)  (000 2 02 20000 00 0000 150)</t>
  </si>
  <si>
    <t>Субвенции бюджетам бюджетной системы Российской Федерации</t>
  </si>
  <si>
    <t>Субвенции бюджетам бюджетной системы Российской Федерации,  всего</t>
  </si>
  <si>
    <t xml:space="preserve">Субсидии бюджетам бюджетной системы Российской Федерации (межбюджетные субсидии) </t>
  </si>
  <si>
    <t>Субсидии бюджетам бюджетной системы Российской Федерации (межбюджетные субсидии),  всего</t>
  </si>
  <si>
    <t>Субвенции бюджетам бюджетной системы Российской Федерации  ( 000 2 02 30000 00 000 150 )</t>
  </si>
  <si>
    <t>Субсидии бюджетам бюджетной системы Российской Федерации (межбюджетные субсидии)  ( 000 2 02 20000 00 0000 150 )</t>
  </si>
  <si>
    <t>Дотации бюджетам бюджетной системы Российской Федерации  (000 2 02 10000 00 0000 150)</t>
  </si>
  <si>
    <t>Дотации бюджетам бюджетной системы Российской Федерации</t>
  </si>
  <si>
    <t>Дотации бюджетам бюджетной системы Российской Федерации,  всего</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</si>
  <si>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развитие газификации на сельских территориях)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t>
  </si>
  <si>
    <t>21 2 02 86780</t>
  </si>
  <si>
    <t>Предоставление субсидий местным бюджетам на реализацию муниципальных программ, направленных на развитие газификации на сельских территориях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</si>
  <si>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05 0000 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</si>
  <si>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04 0000 150)</t>
  </si>
  <si>
    <t xml:space="preserve">14 1 R1 Д3934 </t>
  </si>
  <si>
    <t>Финансовое обеспечение дорожной деятельности в рамках реализации национального проекта «Безопасные и качественные автомобильные дороги» в целях достижения значений дополнительного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«Дорожная сеть» (на сети автомобильных дорог Липецкой агломерации))  подпрограммы "Развитие дорожного комплекса Липецкой области" государственной программы Липецкой области "Развитие транспортной системы Липецкой области"</t>
  </si>
  <si>
    <t>08 6 F3 67484</t>
  </si>
  <si>
    <t>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в рамках регионального проекта "Обеспечение устойчивого сокращения непригодного для проживания жилищного фонда" подпрограммы «Улучшение качества жилищного фонда,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</si>
  <si>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 xml:space="preserve">20 1 F2 Д5551 </t>
  </si>
  <si>
    <t>Реализация мероприятий, направленных на формирование современной городской среды в целях достижения дополнительного результата федерального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и городских округов) в рамках регионального проекта "Формирование комфортной городской среды" подпрограммы "Развитие благоустройства территорий муниципальных образований Липецкой области" государственной программы Липецкой области "Формирование современной городской среды в Липецкой области"</t>
  </si>
  <si>
    <t xml:space="preserve">Целевые  статьи  20 1 F2 55550,  20 1 F2 Д5551 </t>
  </si>
  <si>
    <t>Предоставление субсидий местным бюджетам на реализацию муниципальных программ, направленных на реализацию проектов благоустройства территорий поселений и городских округов, отобранных на конкурсной основе, предложенных территориальным общественным самоуправлением в рамках подпрограммы "Развитие благоустройства территорий муниципальных образований Липецкой области" государственной программы Липецкой области "Формирование современной городской среды в Липецкой области"</t>
  </si>
  <si>
    <t>21 2 02 R5764</t>
  </si>
  <si>
    <t>21 2 02 R5764 - фед</t>
  </si>
  <si>
    <t>Целевая  статья  21 2 02 R5764</t>
  </si>
  <si>
    <t>Субсидии бюджетам поселений на 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t>
  </si>
  <si>
    <t xml:space="preserve">Субсидии бюджетам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</si>
  <si>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04 0000 150)</t>
  </si>
  <si>
    <t>Субсидии бюджетам муниципальных районов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05 0000 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</si>
  <si>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10 0000 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</si>
  <si>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13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</si>
  <si>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00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</si>
  <si>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00 0000 150)</t>
  </si>
  <si>
    <t xml:space="preserve">областные  средства </t>
  </si>
  <si>
    <t>СВЕДЕНИЯ  О  НЕРАСПРЕДЕЛЕННЫХ  ИНЫХ  МЕЖБЮДЖЕТНЫХ  ТРАНСФЕРТАХ  В  2021  ГОДУ</t>
  </si>
  <si>
    <t>СВЕДЕНИЯ  О  СУБСИДИИ  В  2021  ГОДУ</t>
  </si>
  <si>
    <t>СВЕДЕНИЯ  О  НЕРАСПРЕДЕЛЕННОЙ  ДОТАЦИИ  В  2021  ГОДУ</t>
  </si>
  <si>
    <t>МЕЖБЮДЖЕТНЫЕ  ТРАНСФЕРТЫ  В  2021  ГОДУ</t>
  </si>
  <si>
    <t>ФЕДЕРАЛЬНЫЕ  СРЕДСТВА  В  2021  ГОДУ</t>
  </si>
  <si>
    <t>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подпрограммы "Содействие развитию гражданского общества, патриотического воспитания населения Липецкой области и реализация молодежной политики" государственной программы Липецкой области "Реализация внутренней политики Липецкой области"</t>
  </si>
  <si>
    <t>08 6 F3 67483</t>
  </si>
  <si>
    <t>Целевая  статья  08 6 F3 67483</t>
  </si>
  <si>
    <t>Целевая  статья  08 6 F3 67484</t>
  </si>
  <si>
    <t>Финансовое обеспечение организации благоустройства территорий муниципальных образований в рамках подпрограммы "Развитие благоустройства территорий муниципальных образований Липецкой области" государственной программы Липецкой области "Формирование современной городской среды в Липецкой области"</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</si>
  <si>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сельских поселений Липецкой области  в рамках подпрограммы "Создание условий для повышения финансовой устойчивости местных бюджетов" государственной программы Липецкой области  "Управление государственными финансами и государственным долгом Липецкой области"</t>
  </si>
  <si>
    <t>Иные дотации местным бюджетам в целях поощрения достижения наилучших значений показателей качества управления финансами и платежеспособности городских округов и муниципальных районов Липецкой области  в рамках подпрограммы "Создание условий для повышения финансовой устойчивости местных бюджетов" государственной программы Липецкой области  "Управление государственными финансами и государственным долгом Липецкой области"</t>
  </si>
  <si>
    <t>Иные дотации местным бюджетам в целях поощрения достижения наилучших значений показателей увеличения налогового потенциала городских округов и муниципальных районов Липецкой области  в рамках подпрограммы "Создание условий для повышения финансовой устойчивости местных бюджетов" государственной программы Липецкой области  "Управление государственными финансами и государственным долгом Липецкой области"</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</si>
  <si>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поселений Липецкой области  в рамках подпрограммы "Создание условий для повышения финансовой устойчивости местных бюджетов" государственной программы Липецкой области  "Управление государственными финансами и государственным долгом Липецкой области"</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</si>
  <si>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Липецкой области  в рамках подпрограммы "Создание условий для повышения финансовой устойчивости местных бюджетов" государственной программы Липецкой области  "Управление государственными финансами и государственным долгом Липецкой области"</t>
  </si>
  <si>
    <t>Дотации местным бюджетам на поддержку мер по обеспечению сбалансированности бюджетов в рамках подпрограммы "Создание условий для повышения финансовой устойчивости местных бюджетов" государственной программы Липецкой области "Управление государственными финансами и государственным долгом Липецкой области"</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</si>
  <si>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   (000 2 02 25242 00 0000 150)</t>
  </si>
  <si>
    <t>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   (000 2 02 25242 04 0000 150)</t>
  </si>
  <si>
    <t>Субсидии бюджетам муниципальных районов на ликвидацию несанкционированных свалок в границах городов и наиболее опасных объектов накопленного экологического вреда окружающей среде   (000 2 02 25242 05 0000 150)</t>
  </si>
  <si>
    <t>Субсидии бюджетам сельских поселений на ликвидацию несанкционированных свалок в границах городов и наиболее опасных объектов накопленного экологического вреда окружающей среде   (000 2 02 25242 10 0000 150)</t>
  </si>
  <si>
    <t>Субсидии бюджетам городских поселений на ликвидацию несанкционированных свалок в границах городов и наиболее опасных объектов накопленного экологического вреда окружающей среде   (000 2 02 25242 13 0000 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</si>
  <si>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(000 2 02 25255 00 0000 150)</t>
  </si>
  <si>
    <t>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(000 2 02 25255 04 0000 150)</t>
  </si>
  <si>
    <t>Субсидии бюджетам муниципальных районов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(000 2 02 25255 05 0000 150)</t>
  </si>
  <si>
    <t>05 1 29 R2550 - обл</t>
  </si>
  <si>
    <t>05 1 29 R2550 - фед</t>
  </si>
  <si>
    <t>Целевая  статья  05 1 29 R2550</t>
  </si>
  <si>
    <t>Предоставление субсидий местным бюджетам на реализацию муниципальных программ, направленных на благоустройство зданий муниципальных общеобразовательных организаций в целях соблюдения требований к воздушно-тепловому режиму, водоснабжению и канализации в рамках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t>
  </si>
  <si>
    <t>05 1 29 R2550</t>
  </si>
  <si>
    <t>05 5 E1 Д5200</t>
  </si>
  <si>
    <t>Предоставление субсидий местным бюджетам на реализацию муниципальных программ, направленных на создание новых мест в общеобразовательных организациях в целях достижения значений дополнительного результата федерального проекта в рамках регионального проекта "Современная школа"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t>
  </si>
  <si>
    <t>Целевые  статьи  05 5 E1 55200, 05 5 E1 Д5200</t>
  </si>
  <si>
    <t>11 4 04 86400</t>
  </si>
  <si>
    <t>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начинающим субъектам малого предпринимательства (за исключением производственных кооперативов, потребительских кооперативов и крестьянских (фермерских) хозяйств) на возмещение затрат по организации и развитию собственного дела  в рамках подпрограммы "Развитие малого и среднего предпринимательства в Липецкой области на 2014-2020 годы" государственной программы Липецкой области "Модернизация и инновационное развитие экономики Липецкой области"</t>
  </si>
  <si>
    <t>Закон  Липецкой  области  от  15.12.2015  года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</si>
  <si>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 xml:space="preserve">Закон  Липецкой  области  от  19  августа  2008  года  № 180-ОЗ  "О нормативах финансирования муниципальных общеобразовательных организаций" </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</si>
  <si>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00 0000 150)</t>
  </si>
  <si>
    <t>Субвенции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04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</si>
  <si>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05 0000 150)</t>
  </si>
  <si>
    <t>01 4 22 R3040</t>
  </si>
  <si>
    <t>01 4 22 R3040 - фед</t>
  </si>
  <si>
    <t>Целевая  статья  01 4 22 R3040</t>
  </si>
  <si>
    <t>5.  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 по непрограммному направлению расходов "Обеспечение деятельности в сфере государственной регистрации актов гражданского состояния" в рамках непрограммных расходов областного бюджета  (ЦС  99 4 00 59300)</t>
  </si>
  <si>
    <t>6.  Осуществление первичного воинского учета на территориях, где отсутствуют военные комиссариаты по непрограммному направлению расходов "Иные непрограммные мероприятия" в рамках непрограммных расходов областного бюджета  (ЦС  99 9 00 51180)</t>
  </si>
  <si>
    <t>7.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"Иные непрограммные мероприятия" в рамках непрограммных расходов областного бюджета  (ЦС  99 9 00 51200)</t>
  </si>
  <si>
    <t>4.  Обеспечение бесплатного горячего питания обучающихся по образовательным программам начального общего образования  в рамках  подпрограммы "Улучшение демографической ситуации и положения семей с детьми" государственной программы Липецкой области "Социальная поддержка граждан, реализация семейно-демографической политики Липецкой области"  (ЦС 01 4 22 R3040)</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</si>
  <si>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     (000 2 02 25306 05 0000 150)</t>
  </si>
  <si>
    <t>06 1 A1 55198 - обл</t>
  </si>
  <si>
    <t>06 1 A1 55198 - фед</t>
  </si>
  <si>
    <t>Целевая  статья  06 1 A1 55198</t>
  </si>
  <si>
    <t xml:space="preserve">Государственная поддержка отрасли культуры (оснащение музыкальными инструментами, оборудованием и учебными материалами детских школ искусств) </t>
  </si>
  <si>
    <t>Предоставление субсидий местным бюджетам на реализацию муниципальных программ, направленных на подготовку и внесение изменений в генеральные планы, правила землепользования и застройки городских и сельских поселений и документацию по планировке территорий городских округов, городских и сельских поселений Липецкой области в рамках регионального проекта "Жилье" подпрограммы "Стимулирование жилищного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</si>
  <si>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08 4 F1 86020</t>
  </si>
  <si>
    <t>06 1 A1 Д5195</t>
  </si>
  <si>
    <t>Субвенции бюджетам на проведение Всероссийской переписи населения 2020 года   (000 2 02 35469 00 0000 150)</t>
  </si>
  <si>
    <t>Субвенции бюджетам городских округов на проведение Всероссийской переписи населения 2020 года   (000 2 02 35469 04 0000 150)</t>
  </si>
  <si>
    <t>Субвенции бюджетам муниципальных районов на проведение Всероссийской переписи населения 2020 года   (000 2 02 35469 05 0000 150)</t>
  </si>
  <si>
    <t>Целевая  статья  99 9 00 54690</t>
  </si>
  <si>
    <t>8.  Проведение Всероссийской переписи населения 2020 года по непрограммному направлению расходов "Иные непрограммные мероприятия" в рамках непрограммных расходов областного бюджета  (ЦС  99 9 00 54690)</t>
  </si>
  <si>
    <t xml:space="preserve">Целевые  статьи  14 1 04 86030,  14 1 05 86070,  14 1 09 86230,  14 1 R1 Д3934 </t>
  </si>
  <si>
    <t>14 1 09 86230</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</si>
  <si>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подпрограммы "Развитие благоустройства территорий муниципальных образований Липецкой области" государственной программы Липецкой области "Формирование современной городской среды в Липецкой области"</t>
  </si>
  <si>
    <t>20 1 F2 54240</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</si>
  <si>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00 0000 150)</t>
  </si>
  <si>
    <t>Целевая  статья  20 1 F2 54240</t>
  </si>
  <si>
    <t xml:space="preserve">Межбюджетные трансферты, передаваемые бюджетам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</si>
  <si>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Межбюджетные трансферты, передаваемые бюджетам сельских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10 0000 150)</t>
  </si>
  <si>
    <t>Межбюджетные трансферты, передаваемые бюджетам городских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13 0000 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</si>
  <si>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04 0000 150)</t>
  </si>
  <si>
    <t>Межбюджетные трансферты, передаваемые бюджетам муниципальных районов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05 0000 150)</t>
  </si>
  <si>
    <t>06 1 A1 55198</t>
  </si>
  <si>
    <t>Государственная поддержка отрасли культуры (оснащение музыкальными инструментами, оборудованием и учебными материалами детских школ искусств)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t>
  </si>
  <si>
    <t>06 1 A1 5519Б</t>
  </si>
  <si>
    <t>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t>
  </si>
  <si>
    <t>06 1 A1 5519Б - обл</t>
  </si>
  <si>
    <t>06 1 A1 5519Б - фед</t>
  </si>
  <si>
    <t>Целевая  статья 06 1 A1 5519Б</t>
  </si>
  <si>
    <t xml:space="preserve">Государственная поддержка отрасли культуры в целях достижения значений дополнительного результата федерального проекта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 в рамках регионального проекта  "Культурная среда"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t>
  </si>
  <si>
    <t>СУБСИДИЯ  ПО  ВИДУ  РАСХОДА  522</t>
  </si>
  <si>
    <t>руб.</t>
  </si>
  <si>
    <t>план  из  отчета</t>
  </si>
  <si>
    <t>факт  из  отчета</t>
  </si>
  <si>
    <t>отклонение  план</t>
  </si>
  <si>
    <t>отклонение  факт</t>
  </si>
  <si>
    <t>УТОЧНЕННЫЙ  ПЛАН  И  ИСПОЛНЕНИЕ  ПО  ФЕДЕРАЛЬНОЙ  СУБСИДИИ</t>
  </si>
  <si>
    <t>БЕЗ  ФОНДА  РЕФОРМИРОВАНИЯ  ЖКХ</t>
  </si>
  <si>
    <t>Субсидии  бюджетам  субъектов  Российской  Федерации  и  муниципальных  образований  (межбюджетные  субсидии) ( 000 2 02 20000 00 0000 150 )</t>
  </si>
  <si>
    <t>МР  и  ГО</t>
  </si>
  <si>
    <t>Субсидии бюджетам муниципальных образований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    (000 2 02 20298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</si>
  <si>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(000 2 02 20299 00 0000 150)поступивших от государственной корпорации - Фонда содействия реформированию жилищно-коммунального хозяйства    (000 2 02 20299 00 0000 150)</t>
  </si>
  <si>
    <t>Субсидии бюджетам на реализацию мероприятий государственной программы Российской Федерации "Доступная среда" на 2011 - 2020 годы   (000 2 02 25027 00 0000 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</si>
  <si>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  (2 02 25097 00 0000 150)</t>
  </si>
  <si>
    <t>Субсидии бюджетм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(2 02 25232 00 0000 150)</t>
  </si>
  <si>
    <t>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</si>
  <si>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Создание новых мест в общеобразовательных организациях</t>
  </si>
  <si>
    <t xml:space="preserve">Предоставление субсидий местным бюджетам на реализацию муниципальных программ, направленных на создание новых мест в общеобразовательных организациях </t>
  </si>
  <si>
    <t>Целевая  статья  08 6 13 09503</t>
  </si>
  <si>
    <t xml:space="preserve">Целевая  статья  01 6 04 R0272 </t>
  </si>
  <si>
    <t xml:space="preserve">Целевая  статья  01 6 05 R0273 </t>
  </si>
  <si>
    <t xml:space="preserve">Целевая  статья  05 1 Е2 50970 </t>
  </si>
  <si>
    <t>Целевая  статья  04 1 Р5 52282</t>
  </si>
  <si>
    <t xml:space="preserve">Целевая  статья  06 1 63 R4660 </t>
  </si>
  <si>
    <t xml:space="preserve">Целевая  статья  06 1 62 R4670 </t>
  </si>
  <si>
    <t xml:space="preserve">Целевая  статья  05 5 E1 55200 </t>
  </si>
  <si>
    <t xml:space="preserve">Целевая  статья  05 5 01 R5200 </t>
  </si>
  <si>
    <t>без  фонда  реформирования  ЖКХ</t>
  </si>
  <si>
    <t>фонд  реформирования  ЖКХ</t>
  </si>
  <si>
    <t xml:space="preserve">Субсидии бюджетам поселений на ликвидацию несанкционированных свалок в границах городов и наиболее опасных объектов накопленного экологического вреда окружающей среде  </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</si>
  <si>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жилья на сельских территориях, в том числе участие в долевом строительстве жилых домов (квартир) на сельских территориях и (или) участие на основании договора инвестирования в строительстве жилого помещения (жилого дома), предоставляемого гражданам по договору найма жилого помещения)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</si>
  <si>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жилья на сельских территориях, в том числе участие в долевом строительстве жилых домов (квартир) на сельских территориях и (или) участие на основании договора инвестирования в строительстве жилого помещения (жилого дома), предоставляемого гражданам по договору найма жилого помещения) </t>
  </si>
  <si>
    <t xml:space="preserve">05 1 32 53030 </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</si>
  <si>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</si>
  <si>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00 0000 150)</t>
  </si>
  <si>
    <t>Целевая  статья  05 1 32 53030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</si>
  <si>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04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</si>
  <si>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05 0000 150)</t>
  </si>
  <si>
    <t>05 1 32 53030</t>
  </si>
  <si>
    <t>МЕНЯТЬ</t>
  </si>
  <si>
    <t>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 в рамках подпрограммы "Развитие дорожного комплекса Липецкой области" государственной программы Липецкой области "Развитие транспортной системы Липецкой области"</t>
  </si>
  <si>
    <t>без  фондов  план</t>
  </si>
  <si>
    <t>без  фондов  факт</t>
  </si>
  <si>
    <t>фонды  план</t>
  </si>
  <si>
    <t>фонды  факт</t>
  </si>
  <si>
    <t>всего  без  фондов</t>
  </si>
  <si>
    <t>всего  без  фондов  и  дотации</t>
  </si>
  <si>
    <t>городские,  всего</t>
  </si>
  <si>
    <t>СВЕДЕНИЯ  О  НЕРАСПРЕДЕЛЕННОЙ  СУБВЕНЦИИ  В  2021  ГОДУ</t>
  </si>
  <si>
    <t>(вид  расхода  530  "Субвенции")</t>
  </si>
  <si>
    <t>нераспределенная  субвенция</t>
  </si>
  <si>
    <t>Предоставление субсидий местным бюджетам на реализацию муниципальных программ, направленных на возмещение части расходов на оплату услуг и (или) работ по энергосбережению и повышению энергетической эффективности, выполненных в ходе оказания и (или) выполнения услуг и (или) работ по капитальному ремонту общего имущества в многоквартирном доме за счет средств Фонда содействия реформированию жилищно-коммунального хозяйства в рамках подпрограммы «Улучшение качества жилищного фонда,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</si>
  <si>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08 6 13 09503</t>
  </si>
  <si>
    <t>21 2 05 86460</t>
  </si>
  <si>
    <t>Целевые  статьи  06 1 13 86680,  08 5 03 86010  в  части  бюджетных  инвестиций (ВР 522),  08 6 09 86390,  21 2 02 86780,  21 2 05 86460</t>
  </si>
  <si>
    <t>Целевые  статьи  21 1 02 R5762,  21 2 02 R5764,  21 2 05 R5766,  21 2 05 R576F</t>
  </si>
  <si>
    <t>21 2 05 R576F</t>
  </si>
  <si>
    <t>Целевая  статья  21 2 05 R576F</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</si>
  <si>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за счет средств резервного фонда Правительства Российской Федерации)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t>
  </si>
  <si>
    <t>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t>
  </si>
  <si>
    <t>04 1 Р5 52284</t>
  </si>
  <si>
    <t>04 1 Р5 52284 - фед</t>
  </si>
  <si>
    <t>6.  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городских округов на реализацию муниципальных программ, направленных на создание или модернизацию  физкультурно-оздоровительных комплексов открытого типа и (или) физкультурно-оздоровительных комплексов для центров развития внешкольного спорта) в рамках регионального проекта "Спорт-норма жизни" подпрограммы "Развитие спорта высших достижений и системы подготовки спортивного резерва Липецкой области" государственной программы Липецкой области "Развитие физической культуры и спорта Липецкой области" (ЦС  04 1 Р5 52284)</t>
  </si>
  <si>
    <t>Целевая  статья  04 2 Р5 52292</t>
  </si>
  <si>
    <t>04 1 Р5 52282 - фед</t>
  </si>
  <si>
    <t>Целевые  статьи  04 1 Р5 52281,  04 1 Р5 52282 ,  04 1 Р5 52284</t>
  </si>
  <si>
    <t xml:space="preserve">Целевая  статья  04 1 Р5 52284 </t>
  </si>
  <si>
    <t xml:space="preserve">создание или модернизация  физкультурно-оздоровительных комплексов открытого типа и (или) физкультурно-оздоровительных комплексов для центров развития внешкольного спорта </t>
  </si>
  <si>
    <t>отклонение  от  нераспределенной</t>
  </si>
  <si>
    <t>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городских округов на реализацию муниципальных программ, направленных на создание или модернизацию  физкультурно-оздоровительных комплексов открытого типа и (или) физкультурно-оздоровительных комплексов для центров развития внешкольного спорта) в рамках регионального проекта "Спорт-норма жизни" подпрограммы "Развитие спорта высших достижений и системы подготовки спортивного резерва Липецкой области" государственной программы Липецкой области "Развитие физической культуры и спорта Липецкой области"</t>
  </si>
  <si>
    <t>14 1 R1 53930</t>
  </si>
  <si>
    <t>Целевая  статья  14 1 R1 53930</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</si>
  <si>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за счет средств резервного фонда Правительства Российской Федерации)  территорий Липецкой области</t>
  </si>
  <si>
    <t>08 4 F1 Д0210</t>
  </si>
  <si>
    <t>Целевые  статьи  08 4 F1 50210,  08 4 F1 Д0210</t>
  </si>
  <si>
    <t>Стимулирование программ развития жилищного строительства в рамках реализации регионального проекта "Жилье" в целях достижения значений дополнительного результата (предоставление субсидий местным бюджетам на реализацию мероприятий по стимулированию программ развития жилищного строительства на цели строительства (реконструкции) автомобильных дорог)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</si>
  <si>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Поощрение  органов  местного  самоуправления  сельских  и  городских  поселений  области  в  связи  с  достижением  наилучших  результатов  по  социально-экономическому  развитию  территории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t>
  </si>
  <si>
    <t>99 9 00 87060</t>
  </si>
  <si>
    <t>05 1 33 87080</t>
  </si>
  <si>
    <t>Иные межбюджетные трансферты местным бюджетам на проведение капитального ремонта объектов муниципальных общеобразовательных организаций в рамках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t>
  </si>
  <si>
    <t>10 1 13 R2991 - обл</t>
  </si>
  <si>
    <t>10 1 13 R2991 - фед</t>
  </si>
  <si>
    <t>Целевая  статья  10 1 13 R2991</t>
  </si>
  <si>
    <t>Стимулирование программ развития жилищного строительства в рамках реализации регионального проекта "Жилье" в целях достижения значений дополнительного результата (предоставление субсидий местным бюджетам на реализацию мероприятий по стимулированию программ развития жилищного строительства на цели строительства (реконструкции) автомобильных дорог)</t>
  </si>
  <si>
    <t xml:space="preserve">08 4 F1 Д0210   </t>
  </si>
  <si>
    <t>99 9 00 55491</t>
  </si>
  <si>
    <t xml:space="preserve">Реализация мероприятий, связанных с достижением показателей деятельности органов исполнительной власти Липецкой области (иные межбюджетные трансферты на цели поощрения муниципальных управленческих команд)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 </t>
  </si>
  <si>
    <t>04 1 12 55493</t>
  </si>
  <si>
    <t>Реализация мероприятий, связанных с достижением показателей деятельности органов исполнительной власти Липецкой области (иной межбюджетный трансферт на строительство физкультурно-оздоровительного комплекса)  в рамках подпрограммы "Развитие физической культуры и массового спорта на 2014-2020 годы" государственной программы Липецкой области "Развитие физической культуры и спорта Липецкой области"</t>
  </si>
  <si>
    <t>Целевые  статьи  06 1 A2 86280,  08 4 F1 86020,  08 5 03 86010,  10 3 05 86630,  12 1 29 86080,  16 2 02 86210,  16 2 09 86380,  18 2 05 86790,  20 1 06 86420</t>
  </si>
  <si>
    <t>16 2 10 86550</t>
  </si>
  <si>
    <t>0602</t>
  </si>
  <si>
    <t>Предоставление субсидий местным бюджетам на реализацию муниципальных программ, направленных на приобретение дробильных установок для измельчения древесно-растительных отходов, на территории муниципальных районов и  городских  округов в рамках  подпрограммы «Обращение с отходами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t>
  </si>
  <si>
    <t>Сбор, удаление отходов и очистка сточных вод</t>
  </si>
  <si>
    <t>Обеспечение комплексного развития сельских территорий за счет средств резервного фонда Правительства Российской Федерации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t>
  </si>
  <si>
    <t>21 2 01 R576F</t>
  </si>
  <si>
    <t>21 2 05 R6350</t>
  </si>
  <si>
    <t>Реализация проектов комплексного развития сельских территорий за счет средств резервного фонда Правительства Российской Федерации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t>
  </si>
  <si>
    <t>Целевая  статья  21 2 05 R6350</t>
  </si>
  <si>
    <t xml:space="preserve">Реализация проектов комплексного развития сельских территорий за счет средств резервного фонда Правительства Российской Федерации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</si>
  <si>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t>
  </si>
  <si>
    <t>21 1 F2 54240 - фед</t>
  </si>
  <si>
    <t>21 1 F2 54240  - фед</t>
  </si>
  <si>
    <t>Субсидии бюджетам за счет средств резервного фонда Правительства Российской Федерации  (000 2 02 29001 00 0000 150)</t>
  </si>
  <si>
    <t>Субсидии бюджетам поселений за счет средств резервного фонда Правительства Российской Федерации</t>
  </si>
  <si>
    <t>Субсидии бюджетам городских округов за счет средств резервного фонда Правительства Российской Федерации  (000 2 02 29001 04 0000 150)</t>
  </si>
  <si>
    <t>Субсидии бюджетам муниципальных районов за счет средств резервного фонда Правительства Российской Федерации  (000 2 02 29001 05 0000 150)</t>
  </si>
  <si>
    <t>Субсидии бюджетам сельских поселений за счет средств резервного фонда Правительства Российской Федерации  (000 2 02 29001 10 0000 150)</t>
  </si>
  <si>
    <t>Субсидии бюджетам городских поселений за счет средств резервного фонда Правительства Российской Федерации  (000 2 02 29001 13 0000 150)</t>
  </si>
  <si>
    <t>21 2 05 R6350 - обл</t>
  </si>
  <si>
    <t>21 2 05 R6350 - фед</t>
  </si>
  <si>
    <t>14 1 02 5390F</t>
  </si>
  <si>
    <t>Финансовое обеспечение дорожной деятельности за счет средств резервного фонда Правительства Российской Федерации в рамках подпрограммы "Развитие дорожного комплекса Липецкой области" государственной программы Липецкой области "Развитие транспортной системы Липецкой области"</t>
  </si>
  <si>
    <t xml:space="preserve">финансовое обеспечение дорожной деятельности за счет средств резервного фонда Правительства Российской Федерации </t>
  </si>
  <si>
    <t>Межбюджетные трансферты, передаваемые бюджетам  на  финансовое  обеспечение  дорожной  деятельности  (000 2 02 45390 00 0000 150)</t>
  </si>
  <si>
    <t>Межбюджетные трансферты, передаваемые бюджетам  городских  округов  на  финансовое  обеспечение  дорожной  деятельности  (000 2 02 45390 04 0000 150)</t>
  </si>
  <si>
    <t>Межбюджетные трансферты, передаваемые бюджетам  муниципальных  районов  на  финансовое  обеспечение  дорожной  деятельности  (000 2 02 45390 05 0000 150)</t>
  </si>
  <si>
    <t>Жиличное  хозяйство</t>
  </si>
  <si>
    <t>99 3 00 88000</t>
  </si>
  <si>
    <t xml:space="preserve">Иные межбюджетные трансферты за счет средств резервного фонда администрации Липецкой области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 </t>
  </si>
  <si>
    <t>1.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   (ЦС  05 1 32 53030)</t>
  </si>
  <si>
    <t>2.  Создание модельных муниципальных библиотек в рамках регионального проекта  "Культурная среда"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(ЦС  06 1 А1 54540)</t>
  </si>
  <si>
    <t>Целевые  статьи  04 1 41 86440, 04 2 Р5 86820,  05 1 06 86560,  05 1 12 86590,  05 1 26 86160,  06 1 A2 86280,  07 1 06 86860,   08 4 F1 86020,  08 5 03 86010,  10 1 03 86670,  10 3 05 86630,  12 1 29 86080,  12 2 04 86180,  13 8 01 86060,  14 1 08 86300,  16 2 02 86210,  16 2 09 86380, 16 2 10 86550,  18 2 05 86790,  20 1 06 86420</t>
  </si>
  <si>
    <t>Целевая  статья  11 4 04 86400</t>
  </si>
  <si>
    <t>Целевые  статьи  01 6 04 86130,  01 6 04 R0272,  01 6 05 R0273,  01 6 05 86310</t>
  </si>
  <si>
    <t>7. Реализация мероприятий, направленных на приобретение спортивного оборудования и инвентаря для приведения организаций спортивной подготовки в нормативное состояние (субсидии бюджетам муниципальных районов и городских округов на реализацию муниципальных программ, направленных на совершенствование спортивной подготовки по хоккею) в рамках регионального проекта "Спорт-норма жизни" подпрограммы "Развитие спорта высших достижений и системы подготовки спортивного резерва Липецкой области" государственной программы Липецкой области "Развитие физической культуры и спорта Липецкой области"   (ЦС  04 2 Р5 52292)</t>
  </si>
  <si>
    <t>8. Предоставление субсидий местным бюджетам на реализацию муниципальных программ, направленных на благоустройство зданий муниципальных общеобразовательных организаций в целях соблюдения требований к воздушно-тепловому режиму, водоснабжению и канализации в рамках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  (ЦС  05 1 29 R2550)</t>
  </si>
  <si>
    <t>9. Создание в общеобразовательных организациях, расположенных в сельской местности и малых городах, условий для занятий физической культурой и спортом в рамках регионального проекта "Успех каждого ребенка"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  (ЦС  05 1 Е2 50970)</t>
  </si>
  <si>
    <t>10.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регионального проекта "Содействие занятости женщин - создание условий дошкольного образования для детей в возрасте до трех лет" подпрограммы "Ресурсное обеспечение развития образования Липецкой области" государственной программы Липецкой области "Развитие образования Липецкой области"  (ЦС  05 1 Р2 52320 )</t>
  </si>
  <si>
    <t>11. Создание новых мест в общеобразовательных организациях, расположенных в сельской местности и поселках городского типа в рамках регионального проекта "Современная школа" подпрограммы "Создание современной образовательной среды для школьников" государственной программы Липецкой области "Развитие образования Липецкой области"  (ЦС  05 5 E1 52300)</t>
  </si>
  <si>
    <t>12. Создание новых мест в общеобразовательных организациях в рамках регионального проекта "Современная школа" подпрограммы "Создание современной образовательной среды для школьников" государственной программы Липецкой области "Развитие образования Липецкой области"  (ЦС  05 5 E1 55200)</t>
  </si>
  <si>
    <t>13.  Поддержка отрасли культуры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обеспечение инфраструктуры (в том числе строительство, реконструкцию и капитальный ремонт зданий), приобретение оборудования для оснащения учреждений и привлечение специалистов культурно-досуговой деятельности в целях обеспечения доступа к культурным ценностям и творческой самореализации жителей сельской местности) в рамках регионального проекта  "Культурная среда"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(ЦС  06 1 A1 55196)</t>
  </si>
  <si>
    <t>14.  Государственная поддержка отрасли культуры (оснащение музыкальными инструментами, оборудованием и учебными материалами детских школ искусств)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(ЦС  06 1 A1 55198)</t>
  </si>
  <si>
    <t>15. 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(ЦС  06 1 A1 5519Б)</t>
  </si>
  <si>
    <t>16. 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(ЦС  06 1 62 R4670)</t>
  </si>
  <si>
    <t>17.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(ЦС  06 1 63 R4660)</t>
  </si>
  <si>
    <t>18.  Стимулирование программ развития жилищного строительства в рамках регионального проекта "Жилье" подпрограммы "Стимулирование жилищного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  (ЦС  08 4 F1 50210)</t>
  </si>
  <si>
    <t>19. 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реформированию жилищно-коммунального хозяйства в рамках регионального проекта "Обеспечение устойчивого сокращения непригодного для проживания жилищного фонда" подпрограммы «Улучшение качества жилищного фонда,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  (ЦС  08 6 F3 67483)</t>
  </si>
  <si>
    <t>20.  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подпрограммы "Содействие развитию гражданского общества, патриотического воспитания населения Липецкой области и реализация молодежной политики" государственной программы Липецкой области "Реализация внутренней политики Липецкой области"  (ЦС  10 1 13 R2991)</t>
  </si>
  <si>
    <t>21. Реализация мероприятий по ликвидации несанкционированных свалок в границах городов и наиболее опасных объектов накопленного экологического вреда окружающей среде (предоставление субсидий местным бюджетам на реализацию муниципальных программ, направленных на ликвидацию несанкционированных свалок в границах городов и наиболее опасных объектов накопленного экологического вреда окружающей среде) в рамках регионального проекта "Чистая страна" подпрограммы «Обращение с отходами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(ЦС  16 2 G1 52421)</t>
  </si>
  <si>
    <t>22. 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подпрограммы "Развитие благоустройства территорий муниципальных образований Липецкой области" государственной программы Липецкой области "Формирование современной городской среды в Липецкой области"  (ЦС  20 1 F2 55550)</t>
  </si>
  <si>
    <t>23. ООбеспечение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жилья на сельских территориях, в том числе участие в долевом строительстве жилых домов (квартир) на сельских территориях и (или) участие на основании договора инвестирования в строительстве жилого помещения (жилого дома), предоставляемого гражданам по договору найма жилого помещения)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  (ЦС  21 1 02 R5762)</t>
  </si>
  <si>
    <t>24.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благоустройство сельских территорий)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  (ЦС  21 2 01 R5763)</t>
  </si>
  <si>
    <t xml:space="preserve"> </t>
  </si>
  <si>
    <t>Целевые  статьи  04 1 12 55493,  05 1 33 87080,  20 1 08 87070,  99 9 00 55491,  99 9 00 87060</t>
  </si>
  <si>
    <t>Социальное  обеспечение  населения</t>
  </si>
  <si>
    <t>26.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развитие газификации на сельских территориях)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   (ЦС  21 2 02 R5764)</t>
  </si>
  <si>
    <t>27.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за счет средств резервного фонда Правительства Российской Федерации)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  (ЦС  21 2 05 R576F)</t>
  </si>
  <si>
    <t>28.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  (ЦС  21 2 05 R5766)</t>
  </si>
  <si>
    <t>29. Реализация проектов комплексного развития сельских территорий за счет средств резервного фонда Правительства Российской Федерации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 (ЦС  21 2 05 R6350)</t>
  </si>
  <si>
    <t>25. Обеспечение комплексного развития сельских территорий за счет средств резервного фонда Правительства Российской Федерации в рамках подпрограммы "Создание и развитие инфраструктуры на сельских территориях" государственной программы Липецкой области "Комплексное развитие сельских территорий Липецкой области"  (ЦС  21 2 01 R576F)</t>
  </si>
  <si>
    <t xml:space="preserve">Целевая  статья  21 2 01 R576F </t>
  </si>
  <si>
    <t>Субсидии бюджетам на обеспечение комплексного развития сельских территорий  (000 2 02 25576 00 0000 150 )</t>
  </si>
  <si>
    <t>21 2 01 R576F - фед</t>
  </si>
  <si>
    <t>Целевые  статьи  21 2 01 R5763,  21 2 01 R576F</t>
  </si>
  <si>
    <t xml:space="preserve">Обеспечение комплексного развития сельских территорий за счет средств резервного фонда Правительства Российской Федерации </t>
  </si>
  <si>
    <t>Целевая  статья  21 2 01 R576F</t>
  </si>
  <si>
    <t>14 1 13 5390F</t>
  </si>
  <si>
    <t>Целевая  статья  14 1 13 5390F</t>
  </si>
  <si>
    <t>Целевые  статьи  06 1 А1 54540,   06 1 А1 5454F</t>
  </si>
  <si>
    <t>06 1 А1 5454F - фед</t>
  </si>
  <si>
    <t>Целевая  статья  06 1 А1 5454F</t>
  </si>
  <si>
    <t>Создание модельных муниципальных библиотек за счет средств резервного фонда Правительства Российской Федерации</t>
  </si>
  <si>
    <t xml:space="preserve">Создание модельных муниципальных библиотек </t>
  </si>
  <si>
    <t>4.   Создание виртуальных концертных залов в рамках регионального проекта  "Цифровая культура"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(ЦС  06 1 А3 54530)</t>
  </si>
  <si>
    <t>5.  Финансовое обеспечение дорожной деятельности за счет средств резервного фонда Правительства Российской Федерации в рамках подпрограммы "Развитие дорожного комплекса Липецкой области" государственной программы Липецкой области "Развитие транспортной системы Липецкой области"   (ЦС  14 1 13 5390F)</t>
  </si>
  <si>
    <t>3.  Создание модельных муниципальных библиотек за счет средств резервного фонда Правительства Российской Федерации в рамках регионального проекта  "Культурная среда"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(ЦС  06 1 А1 5454F)</t>
  </si>
  <si>
    <t xml:space="preserve"> 06 1 А1 5454F</t>
  </si>
  <si>
    <t xml:space="preserve">Создание модельных муниципальных библиотек за счет средств резервного фонда Правительства Российской Федерации в рамках регионального проекта  "Культурная среда"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t>
  </si>
  <si>
    <t>06 1 14 R519F</t>
  </si>
  <si>
    <t>Поддержка отрасли культуры  за счет средств резервного фонда Правительства Российской Федерации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t>
  </si>
  <si>
    <t>16. Поддержка отрасли культуры  за счет средств резервного фонда Правительства Российской Федерации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(ЦС  06 1 14 R519F)</t>
  </si>
  <si>
    <t>Целевая  статья  06 1 14 R519F</t>
  </si>
  <si>
    <t xml:space="preserve">Поддержка отрасли культуры  за счет средств резервного фонда Правительства Российской Федерации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 </t>
  </si>
  <si>
    <t>06 1 14 R519F - фед</t>
  </si>
  <si>
    <t xml:space="preserve">Целевые  статьи  06 1 A1 55196,  06 1 A1 55198,  06 1 A1 5519Б,  06 1 A1 Д5195,  06 1 14 R519F </t>
  </si>
  <si>
    <t>14 1 14 53900</t>
  </si>
  <si>
    <t>Финансовое обеспечение дорожной деятельности в рамках подпрограммы "Развитие дорожного комплекса Липецкой области" государственной программы Липецкой области "Развитие транспортной системы Липецкой области"</t>
  </si>
  <si>
    <t xml:space="preserve">федеральные  средства  </t>
  </si>
  <si>
    <t>6.  Финансовое обеспечение дорожной деятельности в рамках подпрограммы "Развитие дорожного комплекса Липецкой области" государственной программы Липецкой области "Развитие транспортной системы Липецкой области"   (ЦС  14 1 14 53900)</t>
  </si>
  <si>
    <t>7.  Финансовое обеспечение дорожной деятельности в рамках реализации национального проекта «Безопасные и качественные автомобильные дороги» (предоставление иных межбюджетных трансфертов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Липецкой агломерации) в рамках регионального проекта "Дорожная сеть" подпрограммы "Развитие дорожного комплекса Липецкой области" государственной программы Липецкой области "Развитие транспортной системы Липецкой области"   (ЦС  14 1 R1 53930)</t>
  </si>
  <si>
    <t>8.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подпрограммы "Развитие благоустройства территорий муниципальных образований Липецкой области" государственной программы Липецкой области "Формирование современной городской среды в Липецкой области"  (20 1 F2 54240)</t>
  </si>
  <si>
    <t xml:space="preserve">финансовое обеспечение дорожной деятельности </t>
  </si>
  <si>
    <t>Целевая  статья  14 1 14 53900</t>
  </si>
  <si>
    <t>Целевые  статьи  14 1 02 5390F,  14 1 14 53900</t>
  </si>
  <si>
    <t xml:space="preserve">06 1 14 R519F </t>
  </si>
  <si>
    <t>Дотации  бюджетам  на  поддержку  мер  по  обеспечению  сбалансированности  бюджетов  (000 2 02 15002 00 0000 150)</t>
  </si>
  <si>
    <t>Дотации  бюджетам  городских  округов  на  поддержку  мер  по  обеспечению  сбалансированности  бюджетов  (000 2 02 15002 04 0000 150)</t>
  </si>
  <si>
    <t>Дотации  бюджетам  муниципальных  районов  на  поддержку  мер  по  обеспечению  сбалансированности  бюджетов  (000 2 02 15002 05 0000 150)</t>
  </si>
  <si>
    <t>Дотации  бюджетам  сельских  поселений  на  поддержку  мер  по  обеспечению  сбалансированности  бюджетов   (000 2 02 15002 10 0000 150)</t>
  </si>
  <si>
    <t xml:space="preserve">Дотации  бюджетам  городских  поселений  на  поддержку  мер  по  обеспечению  сбалансированности  бюджетов   (000 2 02 15002 13 0000 150) </t>
  </si>
  <si>
    <t>Реализация мероприятий по модернизации региональных и муниципальных детских школ искусств по видам искусств</t>
  </si>
  <si>
    <t>Закон Липецкой области от 2 сентября 2021 года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</si>
  <si>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t>01 1 01 85190</t>
  </si>
  <si>
    <t>Целевые  статьи  01 1 01 85190,  01 1 01 85250,  01 4 02 85130,  01 4 02 85140,  01 4 04 85080,  01 5 03 85320,  01 7 01 85360,  01 7 02 85150,  02 4 01 85340,  05 1 13 85350,  05 1 14 85090,  05 1 14 85160,  05 1 14 85420,  06 3 01 85060,  08 1 01 85010,  09 1 01 85070,  13 5 02 85170,  99 9 00 85270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</si>
</sst>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р_._-;\-* #,##0.00_р_._-;_-* &quot;-&quot;??_р_._-;_-@_-"/>
    <numFmt numFmtId="165" formatCode="_-* #,##0_р_._-;\-* #,##0_р_._-;_-* &quot;-&quot;??_р_._-;_-@_-"/>
    <numFmt numFmtId="166" formatCode="_-* #,##0.0_р_._-;\-* #,##0.0_р_._-;_-* &quot;-&quot;??_р_._-;_-@_-"/>
    <numFmt numFmtId="167" formatCode="_-* #,##0.00000_р_._-;\-* #,##0.00000_р_._-;_-* &quot;-&quot;??_р_._-;_-@_-"/>
    <numFmt numFmtId="168" formatCode="#,##0.0"/>
    <numFmt numFmtId="169" formatCode="#,##0.000"/>
    <numFmt numFmtId="170" formatCode="#,##0.00;[Red]#,##0.00"/>
    <numFmt numFmtId="171" formatCode="_-* #,##0.0\ _р_._-;\-* #,##0.0\ _р_._-;_-* &quot;-&quot;??\ _р_._-;_-@_-"/>
    <numFmt numFmtId="172" formatCode="_-* #,##0.00\ _р_._-;\-* #,##0.00\ _р_._-;_-* &quot;-&quot;??\ _р_._-;_-@_-"/>
    <numFmt numFmtId="173" formatCode="_-* #,##0.000_р_._-;\-* #,##0.000_р_._-;_-* &quot;-&quot;??_р_._-;_-@_-"/>
  </numFmts>
  <fonts count="151" x14ac:knownFonts="1">
    <font>
      <sz val="10"/>
      <name val="Arial Cyr"/>
      <charset val="204"/>
    </font>
    <font>
      <sz val="10"/>
      <name val="Arial Cyr"/>
      <charset val="204"/>
    </font>
    <font>
      <sz val="8"/>
      <name val="Arial Cyr"/>
      <family val="2"/>
      <charset val="204"/>
    </font>
    <font>
      <b/>
      <sz val="10"/>
      <name val="Arial Cyr"/>
      <charset val="204"/>
    </font>
    <font>
      <b/>
      <sz val="13"/>
      <name val="Arial Cyr"/>
      <charset val="204"/>
    </font>
    <font>
      <b/>
      <sz val="12"/>
      <name val="Arial Cyr"/>
      <charset val="204"/>
    </font>
    <font>
      <b/>
      <sz val="13"/>
      <color indexed="10"/>
      <name val="Arial Cyr"/>
      <charset val="204"/>
    </font>
    <font>
      <b/>
      <sz val="11"/>
      <name val="Arial Cyr"/>
      <charset val="204"/>
    </font>
    <font>
      <b/>
      <sz val="11"/>
      <name val="Arial Cyr"/>
      <family val="2"/>
      <charset val="204"/>
    </font>
    <font>
      <b/>
      <sz val="11"/>
      <color indexed="10"/>
      <name val="Arial Cyr"/>
      <family val="2"/>
      <charset val="204"/>
    </font>
    <font>
      <sz val="11"/>
      <name val="Arial CYR"/>
      <family val="2"/>
      <charset val="204"/>
    </font>
    <font>
      <b/>
      <sz val="10"/>
      <color indexed="10"/>
      <name val="Arial Cyr"/>
      <charset val="204"/>
    </font>
    <font>
      <b/>
      <sz val="11"/>
      <color indexed="10"/>
      <name val="Arial Cyr"/>
      <charset val="204"/>
    </font>
    <font>
      <sz val="11"/>
      <name val="Arial Cyr"/>
      <charset val="204"/>
    </font>
    <font>
      <i/>
      <sz val="11"/>
      <name val="Arial Cyr"/>
      <charset val="204"/>
    </font>
    <font>
      <i/>
      <sz val="11"/>
      <color indexed="10"/>
      <name val="Arial CYR"/>
      <charset val="204"/>
    </font>
    <font>
      <b/>
      <sz val="15"/>
      <name val="Arial Cyr"/>
      <family val="2"/>
      <charset val="204"/>
    </font>
    <font>
      <b/>
      <sz val="13"/>
      <name val="Arial Cyr"/>
      <family val="2"/>
      <charset val="204"/>
    </font>
    <font>
      <b/>
      <sz val="12"/>
      <name val="Arial Cyr"/>
      <family val="2"/>
      <charset val="204"/>
    </font>
    <font>
      <b/>
      <sz val="10"/>
      <name val="Arial Cyr"/>
      <family val="2"/>
      <charset val="204"/>
    </font>
    <font>
      <b/>
      <sz val="12"/>
      <name val="Arial"/>
      <family val="2"/>
      <charset val="204"/>
    </font>
    <font>
      <b/>
      <sz val="13"/>
      <color indexed="10"/>
      <name val="Arial Cyr"/>
      <family val="2"/>
      <charset val="204"/>
    </font>
    <font>
      <b/>
      <i/>
      <sz val="13"/>
      <name val="Arial"/>
      <family val="2"/>
      <charset val="204"/>
    </font>
    <font>
      <b/>
      <sz val="13"/>
      <name val="Arial"/>
      <family val="2"/>
      <charset val="204"/>
    </font>
    <font>
      <b/>
      <sz val="13"/>
      <color indexed="10"/>
      <name val="Arial"/>
      <family val="2"/>
      <charset val="204"/>
    </font>
    <font>
      <sz val="13"/>
      <name val="Arial Cyr"/>
      <family val="2"/>
      <charset val="204"/>
    </font>
    <font>
      <sz val="13"/>
      <name val="Arial Cyr"/>
      <charset val="204"/>
    </font>
    <font>
      <b/>
      <sz val="12"/>
      <color indexed="10"/>
      <name val="Arial Cyr"/>
      <charset val="204"/>
    </font>
    <font>
      <b/>
      <sz val="12"/>
      <color indexed="10"/>
      <name val="Arial Cyr"/>
      <family val="2"/>
      <charset val="204"/>
    </font>
    <font>
      <b/>
      <sz val="11"/>
      <name val="Arial"/>
      <family val="2"/>
      <charset val="204"/>
    </font>
    <font>
      <b/>
      <sz val="12"/>
      <color indexed="10"/>
      <name val="Arial"/>
      <family val="2"/>
      <charset val="204"/>
    </font>
    <font>
      <b/>
      <sz val="11"/>
      <color indexed="10"/>
      <name val="Arial"/>
      <family val="2"/>
      <charset val="204"/>
    </font>
    <font>
      <b/>
      <sz val="10"/>
      <name val="Arial"/>
      <family val="2"/>
      <charset val="204"/>
    </font>
    <font>
      <b/>
      <sz val="10"/>
      <color indexed="10"/>
      <name val="Arial"/>
      <family val="2"/>
      <charset val="204"/>
    </font>
    <font>
      <sz val="10"/>
      <name val="Arial"/>
      <family val="2"/>
      <charset val="204"/>
    </font>
    <font>
      <b/>
      <sz val="13"/>
      <color indexed="8"/>
      <name val="Arial"/>
      <family val="2"/>
      <charset val="204"/>
    </font>
    <font>
      <b/>
      <sz val="14"/>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name val="Arial Cyr"/>
      <family val="2"/>
      <charset val="204"/>
    </font>
    <font>
      <b/>
      <i/>
      <sz val="12"/>
      <color indexed="10"/>
      <name val="Arial"/>
      <family val="2"/>
      <charset val="204"/>
    </font>
    <font>
      <b/>
      <sz val="15"/>
      <color indexed="10"/>
      <name val="Arial Cyr"/>
      <charset val="204"/>
    </font>
    <font>
      <sz val="8"/>
      <name val="Arial Cyr"/>
      <charset val="204"/>
    </font>
    <font>
      <b/>
      <sz val="11"/>
      <color indexed="8"/>
      <name val="Arial Cyr"/>
      <charset val="204"/>
    </font>
    <font>
      <b/>
      <i/>
      <sz val="10"/>
      <name val="Arial Cyr"/>
      <charset val="204"/>
    </font>
    <font>
      <b/>
      <i/>
      <sz val="11"/>
      <color indexed="10"/>
      <name val="Arial Cyr"/>
      <charset val="204"/>
    </font>
    <font>
      <b/>
      <i/>
      <sz val="11"/>
      <color indexed="10"/>
      <name val="Arial"/>
      <family val="2"/>
      <charset val="204"/>
    </font>
    <font>
      <b/>
      <i/>
      <sz val="11"/>
      <name val="Arial Cyr"/>
      <charset val="204"/>
    </font>
    <font>
      <b/>
      <i/>
      <sz val="11"/>
      <name val="Arial"/>
      <family val="2"/>
      <charset val="204"/>
    </font>
    <font>
      <sz val="10"/>
      <name val="Arial"/>
      <family val="2"/>
      <charset val="204"/>
    </font>
    <font>
      <sz val="12"/>
      <name val="Arial"/>
      <family val="2"/>
      <charset val="204"/>
    </font>
    <font>
      <sz val="10"/>
      <name val="Arial"/>
      <family val="2"/>
      <charset val="204"/>
    </font>
    <font>
      <b/>
      <sz val="14"/>
      <name val="Arial"/>
      <family val="2"/>
      <charset val="204"/>
    </font>
    <font>
      <sz val="11"/>
      <name val="Calibri"/>
      <family val="2"/>
    </font>
    <font>
      <b/>
      <i/>
      <u/>
      <sz val="10"/>
      <name val="Arial Cyr"/>
      <charset val="204"/>
    </font>
    <font>
      <sz val="11"/>
      <color theme="1"/>
      <name val="Calibri"/>
      <family val="2"/>
      <charset val="204"/>
      <scheme val="minor"/>
    </font>
    <font>
      <sz val="11"/>
      <color theme="0"/>
      <name val="Calibri"/>
      <family val="2"/>
      <charset val="204"/>
      <scheme val="minor"/>
    </font>
    <font>
      <sz val="11"/>
      <name val="Calibri"/>
      <family val="2"/>
      <scheme val="minor"/>
    </font>
    <font>
      <b/>
      <sz val="11"/>
      <color rgb="FF000000"/>
      <name val="Arial"/>
      <family val="2"/>
      <charset val="204"/>
    </font>
    <font>
      <sz val="10"/>
      <color rgb="FF000000"/>
      <name val="Arial"/>
      <family val="2"/>
      <charset val="204"/>
    </font>
    <font>
      <b/>
      <i/>
      <sz val="12"/>
      <color rgb="FF000000"/>
      <name val="Times New Roman Cyr"/>
      <family val="2"/>
    </font>
    <font>
      <b/>
      <i/>
      <sz val="10"/>
      <color rgb="FF000000"/>
      <name val="Times New Roman Cyr"/>
      <family val="2"/>
    </font>
    <font>
      <i/>
      <sz val="10"/>
      <color rgb="FF000000"/>
      <name val="Times New Roman Cyr"/>
      <family val="2"/>
    </font>
    <font>
      <b/>
      <i/>
      <sz val="9"/>
      <color rgb="FF000000"/>
      <name val="Times New Roman Cyr"/>
      <family val="2"/>
    </font>
    <font>
      <b/>
      <i/>
      <sz val="11"/>
      <color rgb="FF000000"/>
      <name val="Times New Roman Cyr"/>
      <family val="2"/>
    </font>
    <font>
      <sz val="10"/>
      <color rgb="FF000000"/>
      <name val="Times New Roman Cyr"/>
      <family val="2"/>
    </font>
    <font>
      <sz val="10"/>
      <color rgb="FF000000"/>
      <name val="Arial"/>
      <family val="2"/>
    </font>
    <font>
      <sz val="10"/>
      <color rgb="FF000000"/>
      <name val="Arial Cyr"/>
      <family val="2"/>
    </font>
    <font>
      <u/>
      <sz val="9"/>
      <color rgb="FF000000"/>
      <name val="Arial CYR"/>
      <family val="2"/>
    </font>
    <font>
      <u/>
      <sz val="10"/>
      <color rgb="FF000000"/>
      <name val="Times New Roman Cyr"/>
      <family val="2"/>
    </font>
    <font>
      <b/>
      <sz val="12"/>
      <color rgb="FF000000"/>
      <name val="Times New Roman Cyr"/>
      <family val="2"/>
    </font>
    <font>
      <b/>
      <i/>
      <sz val="12"/>
      <color rgb="FF000000"/>
      <name val="Arial Cyr"/>
      <family val="2"/>
    </font>
    <font>
      <b/>
      <sz val="9"/>
      <color rgb="FF000000"/>
      <name val="Times New Roman Cyr"/>
      <family val="2"/>
    </font>
    <font>
      <b/>
      <i/>
      <sz val="11"/>
      <color rgb="FF000000"/>
      <name val="Arial Cyr"/>
      <family val="2"/>
    </font>
    <font>
      <sz val="11"/>
      <color rgb="FF000000"/>
      <name val="Arial Cyr"/>
      <family val="2"/>
    </font>
    <font>
      <b/>
      <sz val="10"/>
      <color rgb="FF000000"/>
      <name val="Times New Roman Cyr"/>
      <family val="2"/>
    </font>
    <font>
      <b/>
      <sz val="8"/>
      <color rgb="FF000000"/>
      <name val="Arial Cyr"/>
      <family val="2"/>
    </font>
    <font>
      <b/>
      <sz val="10"/>
      <color rgb="FF000000"/>
      <name val="Arial Cyr"/>
      <family val="2"/>
    </font>
    <font>
      <sz val="8"/>
      <color rgb="FF000000"/>
      <name val="Arial Cyr"/>
      <family val="2"/>
    </font>
    <font>
      <sz val="9"/>
      <color rgb="FF000000"/>
      <name val="Arial Cyr"/>
      <family val="2"/>
    </font>
    <font>
      <sz val="7"/>
      <color rgb="FF000000"/>
      <name val="Arial Cyr"/>
      <family val="2"/>
    </font>
    <font>
      <sz val="8"/>
      <color rgb="FF000000"/>
      <name val="Times New Roman Cyr"/>
      <family val="2"/>
    </font>
    <font>
      <b/>
      <sz val="9"/>
      <color rgb="FF000000"/>
      <name val="Arial CYR"/>
      <family val="2"/>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b/>
      <sz val="12"/>
      <color rgb="FFFF0000"/>
      <name val="Arial"/>
      <family val="2"/>
      <charset val="204"/>
    </font>
    <font>
      <b/>
      <sz val="13"/>
      <color rgb="FFFF0000"/>
      <name val="Arial"/>
      <family val="2"/>
      <charset val="204"/>
    </font>
    <font>
      <b/>
      <sz val="11"/>
      <color rgb="FFFF0000"/>
      <name val="Arial Cyr"/>
      <charset val="204"/>
    </font>
    <font>
      <b/>
      <sz val="11"/>
      <color rgb="FFFF0000"/>
      <name val="Arial"/>
      <family val="2"/>
      <charset val="204"/>
    </font>
    <font>
      <b/>
      <i/>
      <sz val="11"/>
      <color rgb="FFFF0000"/>
      <name val="Arial"/>
      <family val="2"/>
      <charset val="204"/>
    </font>
    <font>
      <b/>
      <sz val="10"/>
      <color rgb="FF000000"/>
      <name val="Arial Cyr"/>
    </font>
    <font>
      <b/>
      <sz val="12"/>
      <color rgb="FF000000"/>
      <name val="Arial Cyr"/>
    </font>
    <font>
      <b/>
      <sz val="14"/>
      <color rgb="FFFF0000"/>
      <name val="Arial Cyr"/>
      <charset val="204"/>
    </font>
    <font>
      <b/>
      <sz val="14"/>
      <color rgb="FF000000"/>
      <name val="Arial Cyr"/>
      <charset val="204"/>
    </font>
    <font>
      <b/>
      <sz val="14"/>
      <color rgb="FF000000"/>
      <name val="Arial Cyr"/>
    </font>
    <font>
      <sz val="12"/>
      <color rgb="FF000000"/>
      <name val="Arial"/>
      <family val="2"/>
      <charset val="204"/>
    </font>
    <font>
      <b/>
      <sz val="12"/>
      <color rgb="FF000000"/>
      <name val="Arial"/>
      <family val="2"/>
      <charset val="204"/>
    </font>
    <font>
      <b/>
      <sz val="13"/>
      <color rgb="FF000000"/>
      <name val="Arial"/>
      <family val="2"/>
      <charset val="204"/>
    </font>
    <font>
      <b/>
      <sz val="11"/>
      <color rgb="FFFF0000"/>
      <name val="Arial Cyr"/>
    </font>
    <font>
      <b/>
      <sz val="14"/>
      <color rgb="FFFF0000"/>
      <name val="Times New Roman Cyr"/>
      <charset val="204"/>
    </font>
    <font>
      <b/>
      <sz val="13"/>
      <color rgb="FF000000"/>
      <name val="Arial Cyr"/>
    </font>
    <font>
      <b/>
      <sz val="10"/>
      <color rgb="FFFF0000"/>
      <name val="Arial Cyr"/>
    </font>
    <font>
      <b/>
      <sz val="12"/>
      <color rgb="FFFF0000"/>
      <name val="Arial Cyr"/>
      <charset val="204"/>
    </font>
    <font>
      <b/>
      <sz val="20"/>
      <name val="Arial Cyr"/>
      <charset val="204"/>
    </font>
    <font>
      <b/>
      <sz val="10"/>
      <color rgb="FF000000"/>
      <name val="Arial"/>
      <family val="2"/>
      <charset val="204"/>
    </font>
    <font>
      <b/>
      <sz val="14"/>
      <color rgb="FFFF0000"/>
      <name val="Arial"/>
      <family val="2"/>
      <charset val="204"/>
    </font>
    <font>
      <b/>
      <i/>
      <sz val="10"/>
      <name val="Arial"/>
      <family val="2"/>
      <charset val="204"/>
    </font>
    <font>
      <b/>
      <sz val="10"/>
      <color rgb="FFFF0000"/>
      <name val="Arial Cyr"/>
      <charset val="204"/>
    </font>
    <font>
      <sz val="10"/>
      <color rgb="FFFF0000"/>
      <name val="Arial Cyr"/>
      <charset val="204"/>
    </font>
    <font>
      <b/>
      <sz val="11"/>
      <color rgb="FF000000"/>
      <name val="Arial"/>
      <family val="2"/>
      <charset val="204"/>
    </font>
    <font>
      <b/>
      <i/>
      <u/>
      <sz val="10"/>
      <name val="Arial"/>
      <family val="2"/>
      <charset val="204"/>
    </font>
    <font>
      <sz val="8"/>
      <color rgb="FF000000"/>
      <name val="Arial Cyr"/>
    </font>
    <font>
      <b/>
      <sz val="12"/>
      <color rgb="FFFF0000"/>
      <name val="Arial Cyr"/>
      <family val="2"/>
      <charset val="204"/>
    </font>
    <font>
      <b/>
      <sz val="13"/>
      <color rgb="FFFF0000"/>
      <name val="Arial Cyr"/>
      <family val="2"/>
      <charset val="204"/>
    </font>
    <font>
      <b/>
      <sz val="13"/>
      <color rgb="FFFF0000"/>
      <name val="Arial Cyr"/>
      <charset val="204"/>
    </font>
    <font>
      <b/>
      <sz val="12"/>
      <color rgb="FFC00000"/>
      <name val="Arial Cyr"/>
      <charset val="204"/>
    </font>
    <font>
      <b/>
      <sz val="14"/>
      <color rgb="FF000000"/>
      <name val="Arial"/>
      <family val="2"/>
      <charset val="204"/>
    </font>
    <font>
      <sz val="14"/>
      <color rgb="FF000000"/>
      <name val="Arial"/>
      <family val="2"/>
      <charset val="204"/>
    </font>
    <font>
      <sz val="14"/>
      <color rgb="FF000000"/>
      <name val="Arial Cyr"/>
    </font>
    <font>
      <b/>
      <sz val="10"/>
      <name val="Arial Cyr"/>
    </font>
    <font>
      <b/>
      <sz val="15"/>
      <color rgb="FFFF0000"/>
      <name val="Arial Cyr"/>
      <charset val="204"/>
    </font>
    <font>
      <b/>
      <sz val="16"/>
      <name val="Arial"/>
      <family val="2"/>
      <charset val="204"/>
    </font>
    <font>
      <b/>
      <sz val="12"/>
      <color rgb="FFFF0000"/>
      <name val="Arial Cyr"/>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65"/>
        <bgColor indexed="64"/>
      </patternFill>
    </fill>
    <fill>
      <patternFill patternType="solid">
        <fgColor indexed="26"/>
      </patternFill>
    </fill>
    <fill>
      <patternFill patternType="solid">
        <fgColor indexed="13"/>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1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D5AB"/>
      </patternFill>
    </fill>
    <fill>
      <patternFill patternType="solid">
        <fgColor rgb="FFFFFF99"/>
      </patternFill>
    </fill>
    <fill>
      <patternFill patternType="solid">
        <fgColor rgb="FF99CCFF"/>
      </patternFill>
    </fill>
    <fill>
      <patternFill patternType="solid">
        <fgColor rgb="FFCCFFFF"/>
      </patternFill>
    </fill>
    <fill>
      <patternFill patternType="solid">
        <fgColor rgb="FFC0C0C0"/>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CCFFCC"/>
        <bgColor indexed="64"/>
      </patternFill>
    </fill>
    <fill>
      <patternFill patternType="solid">
        <fgColor rgb="FFFFFF00"/>
        <bgColor indexed="64"/>
      </patternFill>
    </fill>
    <fill>
      <patternFill patternType="solid">
        <fgColor rgb="FFCCFFFF"/>
        <bgColor indexed="64"/>
      </patternFill>
    </fill>
    <fill>
      <patternFill patternType="solid">
        <fgColor rgb="FF66FFFF"/>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00B0F0"/>
        <bgColor indexed="64"/>
      </patternFill>
    </fill>
    <fill>
      <patternFill patternType="solid">
        <fgColor rgb="FFF1F5F9"/>
      </patternFill>
    </fill>
    <fill>
      <patternFill patternType="solid">
        <fgColor theme="8" tint="0.59999389629810485"/>
        <bgColor indexed="64"/>
      </patternFill>
    </fill>
    <fill>
      <patternFill patternType="solid">
        <fgColor theme="9" tint="0.79998168889431442"/>
        <bgColor indexed="64"/>
      </patternFill>
    </fill>
  </fills>
  <borders count="91">
    <border>
      <left/>
      <right/>
      <top/>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rgb="FFFAC090"/>
      </top>
      <bottom style="medium">
        <color rgb="FFFAC090"/>
      </bottom>
      <diagonal/>
    </border>
    <border>
      <left style="thin">
        <color rgb="FFD9D9D9"/>
      </left>
      <right style="thin">
        <color rgb="FFD9D9D9"/>
      </right>
      <top/>
      <bottom style="thin">
        <color rgb="FFD9D9D9"/>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medium">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medium">
        <color indexed="64"/>
      </right>
      <top style="thin">
        <color rgb="FF000000"/>
      </top>
      <bottom style="thin">
        <color rgb="FF000000"/>
      </bottom>
      <diagonal/>
    </border>
    <border>
      <left/>
      <right style="medium">
        <color indexed="64"/>
      </right>
      <top style="thin">
        <color indexed="64"/>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bottom style="thin">
        <color rgb="FF000000"/>
      </bottom>
      <diagonal/>
    </border>
    <border>
      <left style="thin">
        <color rgb="FF000000"/>
      </left>
      <right/>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D9D9D9"/>
      </left>
      <right style="thin">
        <color rgb="FFD9D9D9"/>
      </right>
      <top/>
      <bottom style="thin">
        <color rgb="FFB9CDE5"/>
      </bottom>
      <diagonal/>
    </border>
  </borders>
  <cellStyleXfs count="211">
    <xf numFmtId="0" fontId="0" fillId="0" borderId="0"/>
    <xf numFmtId="0" fontId="37" fillId="2" borderId="0" applyNumberFormat="0" applyBorder="0" applyAlignment="0" applyProtection="0"/>
    <xf numFmtId="0" fontId="70" fillId="30" borderId="0" applyNumberFormat="0" applyBorder="0" applyAlignment="0" applyProtection="0"/>
    <xf numFmtId="0" fontId="37" fillId="3" borderId="0" applyNumberFormat="0" applyBorder="0" applyAlignment="0" applyProtection="0"/>
    <xf numFmtId="0" fontId="70" fillId="31" borderId="0" applyNumberFormat="0" applyBorder="0" applyAlignment="0" applyProtection="0"/>
    <xf numFmtId="0" fontId="37" fillId="4" borderId="0" applyNumberFormat="0" applyBorder="0" applyAlignment="0" applyProtection="0"/>
    <xf numFmtId="0" fontId="70" fillId="32" borderId="0" applyNumberFormat="0" applyBorder="0" applyAlignment="0" applyProtection="0"/>
    <xf numFmtId="0" fontId="37" fillId="5" borderId="0" applyNumberFormat="0" applyBorder="0" applyAlignment="0" applyProtection="0"/>
    <xf numFmtId="0" fontId="70" fillId="33" borderId="0" applyNumberFormat="0" applyBorder="0" applyAlignment="0" applyProtection="0"/>
    <xf numFmtId="0" fontId="37" fillId="6" borderId="0" applyNumberFormat="0" applyBorder="0" applyAlignment="0" applyProtection="0"/>
    <xf numFmtId="0" fontId="70" fillId="34" borderId="0" applyNumberFormat="0" applyBorder="0" applyAlignment="0" applyProtection="0"/>
    <xf numFmtId="0" fontId="37" fillId="7" borderId="0" applyNumberFormat="0" applyBorder="0" applyAlignment="0" applyProtection="0"/>
    <xf numFmtId="0" fontId="70" fillId="35" borderId="0" applyNumberFormat="0" applyBorder="0" applyAlignment="0" applyProtection="0"/>
    <xf numFmtId="0" fontId="37" fillId="8" borderId="0" applyNumberFormat="0" applyBorder="0" applyAlignment="0" applyProtection="0"/>
    <xf numFmtId="0" fontId="70" fillId="36" borderId="0" applyNumberFormat="0" applyBorder="0" applyAlignment="0" applyProtection="0"/>
    <xf numFmtId="0" fontId="37" fillId="9" borderId="0" applyNumberFormat="0" applyBorder="0" applyAlignment="0" applyProtection="0"/>
    <xf numFmtId="0" fontId="70" fillId="37" borderId="0" applyNumberFormat="0" applyBorder="0" applyAlignment="0" applyProtection="0"/>
    <xf numFmtId="0" fontId="37" fillId="10" borderId="0" applyNumberFormat="0" applyBorder="0" applyAlignment="0" applyProtection="0"/>
    <xf numFmtId="0" fontId="70" fillId="38" borderId="0" applyNumberFormat="0" applyBorder="0" applyAlignment="0" applyProtection="0"/>
    <xf numFmtId="0" fontId="37" fillId="5" borderId="0" applyNumberFormat="0" applyBorder="0" applyAlignment="0" applyProtection="0"/>
    <xf numFmtId="0" fontId="70" fillId="39" borderId="0" applyNumberFormat="0" applyBorder="0" applyAlignment="0" applyProtection="0"/>
    <xf numFmtId="0" fontId="37" fillId="8" borderId="0" applyNumberFormat="0" applyBorder="0" applyAlignment="0" applyProtection="0"/>
    <xf numFmtId="0" fontId="70" fillId="40" borderId="0" applyNumberFormat="0" applyBorder="0" applyAlignment="0" applyProtection="0"/>
    <xf numFmtId="0" fontId="37" fillId="11" borderId="0" applyNumberFormat="0" applyBorder="0" applyAlignment="0" applyProtection="0"/>
    <xf numFmtId="0" fontId="70" fillId="41" borderId="0" applyNumberFormat="0" applyBorder="0" applyAlignment="0" applyProtection="0"/>
    <xf numFmtId="0" fontId="38" fillId="12" borderId="0" applyNumberFormat="0" applyBorder="0" applyAlignment="0" applyProtection="0"/>
    <xf numFmtId="0" fontId="71" fillId="42" borderId="0" applyNumberFormat="0" applyBorder="0" applyAlignment="0" applyProtection="0"/>
    <xf numFmtId="0" fontId="38" fillId="9" borderId="0" applyNumberFormat="0" applyBorder="0" applyAlignment="0" applyProtection="0"/>
    <xf numFmtId="0" fontId="71" fillId="43" borderId="0" applyNumberFormat="0" applyBorder="0" applyAlignment="0" applyProtection="0"/>
    <xf numFmtId="0" fontId="38" fillId="10" borderId="0" applyNumberFormat="0" applyBorder="0" applyAlignment="0" applyProtection="0"/>
    <xf numFmtId="0" fontId="71" fillId="44" borderId="0" applyNumberFormat="0" applyBorder="0" applyAlignment="0" applyProtection="0"/>
    <xf numFmtId="0" fontId="38" fillId="13" borderId="0" applyNumberFormat="0" applyBorder="0" applyAlignment="0" applyProtection="0"/>
    <xf numFmtId="0" fontId="71" fillId="45" borderId="0" applyNumberFormat="0" applyBorder="0" applyAlignment="0" applyProtection="0"/>
    <xf numFmtId="0" fontId="38" fillId="14" borderId="0" applyNumberFormat="0" applyBorder="0" applyAlignment="0" applyProtection="0"/>
    <xf numFmtId="0" fontId="71" fillId="46" borderId="0" applyNumberFormat="0" applyBorder="0" applyAlignment="0" applyProtection="0"/>
    <xf numFmtId="0" fontId="38" fillId="15" borderId="0" applyNumberFormat="0" applyBorder="0" applyAlignment="0" applyProtection="0"/>
    <xf numFmtId="0" fontId="71" fillId="47" borderId="0" applyNumberFormat="0" applyBorder="0" applyAlignment="0" applyProtection="0"/>
    <xf numFmtId="0" fontId="72" fillId="0" borderId="0"/>
    <xf numFmtId="0" fontId="72" fillId="0" borderId="0"/>
    <xf numFmtId="4" fontId="73" fillId="48" borderId="56">
      <alignment horizontal="right" shrinkToFit="1"/>
    </xf>
    <xf numFmtId="4" fontId="73" fillId="48" borderId="56">
      <alignment horizontal="right" shrinkToFit="1"/>
    </xf>
    <xf numFmtId="4" fontId="74" fillId="0" borderId="57">
      <alignment horizontal="right" vertical="top" shrinkToFit="1"/>
    </xf>
    <xf numFmtId="4" fontId="75" fillId="49" borderId="58">
      <alignment horizontal="right" vertical="top" wrapText="1" shrinkToFit="1"/>
    </xf>
    <xf numFmtId="1" fontId="76" fillId="0" borderId="58">
      <alignment horizontal="left" vertical="top" wrapText="1"/>
    </xf>
    <xf numFmtId="4" fontId="75" fillId="50" borderId="58">
      <alignment horizontal="right" vertical="top" wrapText="1" shrinkToFit="1"/>
    </xf>
    <xf numFmtId="1" fontId="77" fillId="0" borderId="58">
      <alignment horizontal="left" vertical="top" wrapText="1"/>
    </xf>
    <xf numFmtId="4" fontId="78" fillId="51" borderId="58">
      <alignment horizontal="right" vertical="top" wrapText="1" shrinkToFit="1"/>
    </xf>
    <xf numFmtId="4" fontId="79" fillId="51" borderId="58">
      <alignment horizontal="right" vertical="top" wrapText="1" shrinkToFit="1"/>
    </xf>
    <xf numFmtId="4" fontId="80" fillId="0" borderId="58">
      <alignment horizontal="right" vertical="top" wrapText="1" shrinkToFit="1"/>
    </xf>
    <xf numFmtId="0" fontId="81" fillId="0" borderId="0"/>
    <xf numFmtId="0" fontId="81" fillId="0" borderId="0"/>
    <xf numFmtId="0" fontId="72" fillId="0" borderId="0"/>
    <xf numFmtId="0" fontId="82" fillId="52" borderId="0"/>
    <xf numFmtId="0" fontId="80" fillId="52" borderId="0"/>
    <xf numFmtId="0" fontId="83" fillId="0" borderId="0"/>
    <xf numFmtId="0" fontId="84" fillId="0" borderId="0"/>
    <xf numFmtId="0" fontId="82" fillId="0" borderId="0"/>
    <xf numFmtId="0" fontId="85" fillId="0" borderId="0">
      <alignment horizontal="center"/>
    </xf>
    <xf numFmtId="0" fontId="86" fillId="0" borderId="0">
      <alignment horizontal="center"/>
    </xf>
    <xf numFmtId="0" fontId="87" fillId="0" borderId="0">
      <alignment horizontal="center"/>
    </xf>
    <xf numFmtId="0" fontId="88" fillId="0" borderId="0">
      <alignment horizontal="center"/>
    </xf>
    <xf numFmtId="0" fontId="87" fillId="0" borderId="0">
      <alignment horizontal="center"/>
    </xf>
    <xf numFmtId="0" fontId="89" fillId="0" borderId="0">
      <alignment horizontal="center"/>
    </xf>
    <xf numFmtId="0" fontId="89" fillId="0" borderId="0">
      <alignment horizontal="center"/>
    </xf>
    <xf numFmtId="0" fontId="80" fillId="0" borderId="59"/>
    <xf numFmtId="0" fontId="82" fillId="52" borderId="59"/>
    <xf numFmtId="0" fontId="90" fillId="0" borderId="60">
      <alignment horizontal="center" vertical="center" wrapText="1"/>
    </xf>
    <xf numFmtId="0" fontId="89" fillId="0" borderId="59">
      <alignment horizontal="center"/>
    </xf>
    <xf numFmtId="0" fontId="91" fillId="0" borderId="60">
      <alignment horizontal="center" vertical="center"/>
    </xf>
    <xf numFmtId="0" fontId="80" fillId="52" borderId="61"/>
    <xf numFmtId="0" fontId="91" fillId="0" borderId="60">
      <alignment horizontal="center" vertical="center" wrapText="1"/>
    </xf>
    <xf numFmtId="0" fontId="82" fillId="52" borderId="61"/>
    <xf numFmtId="0" fontId="80" fillId="52" borderId="62"/>
    <xf numFmtId="0" fontId="82" fillId="52" borderId="63"/>
    <xf numFmtId="0" fontId="82" fillId="52" borderId="62"/>
    <xf numFmtId="1" fontId="80" fillId="0" borderId="58">
      <alignment horizontal="center" vertical="top"/>
    </xf>
    <xf numFmtId="0" fontId="92" fillId="0" borderId="58">
      <alignment horizontal="left" vertical="top" wrapText="1"/>
    </xf>
    <xf numFmtId="1" fontId="93" fillId="0" borderId="58">
      <alignment horizontal="left" vertical="top" wrapText="1"/>
    </xf>
    <xf numFmtId="0" fontId="80" fillId="52" borderId="64"/>
    <xf numFmtId="49" fontId="93" fillId="0" borderId="58">
      <alignment horizontal="left" vertical="top" wrapText="1"/>
    </xf>
    <xf numFmtId="0" fontId="82" fillId="52" borderId="64"/>
    <xf numFmtId="0" fontId="82" fillId="52" borderId="64"/>
    <xf numFmtId="0" fontId="80" fillId="52" borderId="0">
      <alignment horizontal="left"/>
    </xf>
    <xf numFmtId="0" fontId="82" fillId="52" borderId="62"/>
    <xf numFmtId="1" fontId="92" fillId="0" borderId="65">
      <alignment horizontal="left" vertical="top" wrapText="1"/>
    </xf>
    <xf numFmtId="1" fontId="77" fillId="0" borderId="58">
      <alignment horizontal="left" vertical="top"/>
    </xf>
    <xf numFmtId="0" fontId="92" fillId="0" borderId="66">
      <alignment horizontal="left" vertical="top" wrapText="1"/>
    </xf>
    <xf numFmtId="49" fontId="93" fillId="0" borderId="58">
      <alignment horizontal="left" vertical="top" wrapText="1"/>
    </xf>
    <xf numFmtId="1" fontId="92" fillId="0" borderId="64">
      <alignment horizontal="left" vertical="top" wrapText="1"/>
    </xf>
    <xf numFmtId="0" fontId="80" fillId="52" borderId="67"/>
    <xf numFmtId="49" fontId="92" fillId="0" borderId="67">
      <alignment vertical="top" wrapText="1"/>
    </xf>
    <xf numFmtId="0" fontId="82" fillId="52" borderId="67"/>
    <xf numFmtId="1" fontId="92" fillId="0" borderId="0">
      <alignment horizontal="left" vertical="top" wrapText="1"/>
    </xf>
    <xf numFmtId="1" fontId="76" fillId="0" borderId="58">
      <alignment horizontal="left" vertical="top"/>
    </xf>
    <xf numFmtId="0" fontId="94" fillId="0" borderId="0"/>
    <xf numFmtId="0" fontId="94" fillId="0" borderId="0"/>
    <xf numFmtId="1" fontId="90" fillId="0" borderId="58">
      <alignment horizontal="left" vertical="top"/>
    </xf>
    <xf numFmtId="0" fontId="82" fillId="0" borderId="59"/>
    <xf numFmtId="0" fontId="95" fillId="0" borderId="0"/>
    <xf numFmtId="1" fontId="90" fillId="0" borderId="64">
      <alignment horizontal="left" vertical="top"/>
    </xf>
    <xf numFmtId="0" fontId="91" fillId="0" borderId="68">
      <alignment horizontal="center" vertical="center" wrapText="1"/>
    </xf>
    <xf numFmtId="0" fontId="93" fillId="0" borderId="0"/>
    <xf numFmtId="0" fontId="82" fillId="0" borderId="0"/>
    <xf numFmtId="0" fontId="93" fillId="0" borderId="58">
      <alignment horizontal="left" vertical="top" wrapText="1"/>
    </xf>
    <xf numFmtId="0" fontId="91" fillId="0" borderId="68">
      <alignment horizontal="center" vertical="center" wrapText="1"/>
    </xf>
    <xf numFmtId="0" fontId="80" fillId="0" borderId="0"/>
    <xf numFmtId="0" fontId="82" fillId="0" borderId="65">
      <alignment vertical="top"/>
    </xf>
    <xf numFmtId="4" fontId="92" fillId="51" borderId="58">
      <alignment horizontal="right" vertical="top" shrinkToFit="1"/>
    </xf>
    <xf numFmtId="0" fontId="93" fillId="0" borderId="58">
      <alignment horizontal="left" vertical="top" wrapText="1"/>
    </xf>
    <xf numFmtId="0" fontId="85" fillId="0" borderId="0">
      <alignment horizontal="center"/>
    </xf>
    <xf numFmtId="0" fontId="82" fillId="0" borderId="58">
      <alignment vertical="top"/>
    </xf>
    <xf numFmtId="4" fontId="93" fillId="0" borderId="58">
      <alignment horizontal="center" vertical="top"/>
    </xf>
    <xf numFmtId="0" fontId="82" fillId="0" borderId="64">
      <alignment vertical="top"/>
    </xf>
    <xf numFmtId="0" fontId="90" fillId="0" borderId="68">
      <alignment horizontal="center" vertical="center" wrapText="1"/>
    </xf>
    <xf numFmtId="4" fontId="93" fillId="0" borderId="58">
      <alignment horizontal="center" vertical="top"/>
    </xf>
    <xf numFmtId="4" fontId="93" fillId="0" borderId="58">
      <alignment horizontal="right" vertical="top" shrinkToFit="1"/>
    </xf>
    <xf numFmtId="0" fontId="82" fillId="0" borderId="0">
      <alignment vertical="top"/>
    </xf>
    <xf numFmtId="1" fontId="96" fillId="0" borderId="58">
      <alignment horizontal="center" vertical="top"/>
    </xf>
    <xf numFmtId="4" fontId="92" fillId="51" borderId="58">
      <alignment horizontal="right" vertical="top" shrinkToFit="1"/>
    </xf>
    <xf numFmtId="168" fontId="97" fillId="51" borderId="58">
      <alignment horizontal="right" vertical="top" shrinkToFit="1"/>
    </xf>
    <xf numFmtId="0" fontId="82" fillId="0" borderId="0">
      <alignment vertical="top"/>
    </xf>
    <xf numFmtId="0" fontId="82" fillId="0" borderId="58">
      <alignment vertical="top"/>
    </xf>
    <xf numFmtId="0" fontId="82" fillId="52" borderId="0"/>
    <xf numFmtId="0" fontId="82" fillId="52" borderId="67"/>
    <xf numFmtId="168" fontId="94" fillId="0" borderId="58">
      <alignment horizontal="right" vertical="top" shrinkToFit="1"/>
    </xf>
    <xf numFmtId="0" fontId="89" fillId="0" borderId="0">
      <alignment horizontal="center"/>
    </xf>
    <xf numFmtId="4" fontId="80" fillId="0" borderId="58">
      <alignment horizontal="right" vertical="top" shrinkToFit="1"/>
    </xf>
    <xf numFmtId="4" fontId="93" fillId="0" borderId="58">
      <alignment horizontal="right" vertical="top" shrinkToFit="1"/>
    </xf>
    <xf numFmtId="0" fontId="91" fillId="0" borderId="69">
      <alignment horizontal="center" vertical="center" wrapText="1"/>
    </xf>
    <xf numFmtId="4" fontId="80" fillId="0" borderId="58">
      <alignment horizontal="right" vertical="top" shrinkToFit="1"/>
    </xf>
    <xf numFmtId="4" fontId="79" fillId="51" borderId="58">
      <alignment horizontal="right" vertical="top" shrinkToFit="1"/>
    </xf>
    <xf numFmtId="168" fontId="94" fillId="0" borderId="58">
      <alignment horizontal="right" vertical="top" shrinkToFit="1"/>
    </xf>
    <xf numFmtId="4" fontId="78" fillId="51" borderId="58">
      <alignment horizontal="right" vertical="top" shrinkToFit="1"/>
    </xf>
    <xf numFmtId="4" fontId="75" fillId="50" borderId="58">
      <alignment horizontal="right" vertical="top" shrinkToFit="1"/>
    </xf>
    <xf numFmtId="168" fontId="97" fillId="51" borderId="58">
      <alignment horizontal="right" vertical="top" shrinkToFit="1"/>
    </xf>
    <xf numFmtId="170" fontId="80" fillId="0" borderId="58">
      <alignment horizontal="center" vertical="top" wrapText="1"/>
    </xf>
    <xf numFmtId="4" fontId="75" fillId="49" borderId="58">
      <alignment horizontal="right" vertical="top" shrinkToFit="1"/>
    </xf>
    <xf numFmtId="0" fontId="91" fillId="0" borderId="69">
      <alignment horizontal="center" vertical="center" wrapText="1"/>
    </xf>
    <xf numFmtId="4" fontId="92" fillId="0" borderId="64">
      <alignment horizontal="right" vertical="top" shrinkToFit="1"/>
    </xf>
    <xf numFmtId="4" fontId="76" fillId="0" borderId="64">
      <alignment horizontal="right" vertical="top" shrinkToFit="1"/>
    </xf>
    <xf numFmtId="0" fontId="91" fillId="0" borderId="60">
      <alignment horizontal="center" vertical="center" wrapText="1"/>
    </xf>
    <xf numFmtId="4" fontId="92" fillId="0" borderId="0">
      <alignment horizontal="right" vertical="top" shrinkToFit="1"/>
    </xf>
    <xf numFmtId="0" fontId="82" fillId="52" borderId="61"/>
    <xf numFmtId="4" fontId="76" fillId="51" borderId="58">
      <alignment horizontal="right" vertical="top" shrinkToFit="1"/>
    </xf>
    <xf numFmtId="0" fontId="80" fillId="0" borderId="64">
      <alignment vertical="top"/>
    </xf>
    <xf numFmtId="168" fontId="80" fillId="0" borderId="58">
      <alignment horizontal="right" vertical="top" shrinkToFit="1"/>
    </xf>
    <xf numFmtId="168" fontId="78" fillId="51" borderId="58">
      <alignment horizontal="right" vertical="top" shrinkToFit="1"/>
    </xf>
    <xf numFmtId="0" fontId="91" fillId="0" borderId="69">
      <alignment horizontal="center" vertical="center" wrapText="1"/>
    </xf>
    <xf numFmtId="0" fontId="91" fillId="0" borderId="60">
      <alignment horizontal="center" vertical="center" wrapText="1"/>
    </xf>
    <xf numFmtId="0" fontId="38" fillId="18" borderId="0" applyNumberFormat="0" applyBorder="0" applyAlignment="0" applyProtection="0"/>
    <xf numFmtId="0" fontId="71" fillId="53" borderId="0" applyNumberFormat="0" applyBorder="0" applyAlignment="0" applyProtection="0"/>
    <xf numFmtId="0" fontId="38" fillId="19" borderId="0" applyNumberFormat="0" applyBorder="0" applyAlignment="0" applyProtection="0"/>
    <xf numFmtId="0" fontId="71" fillId="54" borderId="0" applyNumberFormat="0" applyBorder="0" applyAlignment="0" applyProtection="0"/>
    <xf numFmtId="0" fontId="38" fillId="20" borderId="0" applyNumberFormat="0" applyBorder="0" applyAlignment="0" applyProtection="0"/>
    <xf numFmtId="0" fontId="71" fillId="55" borderId="0" applyNumberFormat="0" applyBorder="0" applyAlignment="0" applyProtection="0"/>
    <xf numFmtId="0" fontId="38" fillId="13" borderId="0" applyNumberFormat="0" applyBorder="0" applyAlignment="0" applyProtection="0"/>
    <xf numFmtId="0" fontId="71" fillId="56" borderId="0" applyNumberFormat="0" applyBorder="0" applyAlignment="0" applyProtection="0"/>
    <xf numFmtId="0" fontId="38" fillId="14" borderId="0" applyNumberFormat="0" applyBorder="0" applyAlignment="0" applyProtection="0"/>
    <xf numFmtId="0" fontId="71" fillId="57" borderId="0" applyNumberFormat="0" applyBorder="0" applyAlignment="0" applyProtection="0"/>
    <xf numFmtId="0" fontId="38" fillId="21" borderId="0" applyNumberFormat="0" applyBorder="0" applyAlignment="0" applyProtection="0"/>
    <xf numFmtId="0" fontId="71" fillId="58" borderId="0" applyNumberFormat="0" applyBorder="0" applyAlignment="0" applyProtection="0"/>
    <xf numFmtId="0" fontId="39" fillId="7" borderId="2" applyNumberFormat="0" applyAlignment="0" applyProtection="0"/>
    <xf numFmtId="0" fontId="98" fillId="59" borderId="70" applyNumberFormat="0" applyAlignment="0" applyProtection="0"/>
    <xf numFmtId="0" fontId="40" fillId="17" borderId="3" applyNumberFormat="0" applyAlignment="0" applyProtection="0"/>
    <xf numFmtId="0" fontId="99" fillId="60" borderId="71" applyNumberFormat="0" applyAlignment="0" applyProtection="0"/>
    <xf numFmtId="0" fontId="41" fillId="17" borderId="2" applyNumberFormat="0" applyAlignment="0" applyProtection="0"/>
    <xf numFmtId="0" fontId="100" fillId="60" borderId="70" applyNumberFormat="0" applyAlignment="0" applyProtection="0"/>
    <xf numFmtId="0" fontId="42" fillId="0" borderId="4" applyNumberFormat="0" applyFill="0" applyAlignment="0" applyProtection="0"/>
    <xf numFmtId="0" fontId="101" fillId="0" borderId="72" applyNumberFormat="0" applyFill="0" applyAlignment="0" applyProtection="0"/>
    <xf numFmtId="0" fontId="43" fillId="0" borderId="5" applyNumberFormat="0" applyFill="0" applyAlignment="0" applyProtection="0"/>
    <xf numFmtId="0" fontId="102" fillId="0" borderId="73" applyNumberFormat="0" applyFill="0" applyAlignment="0" applyProtection="0"/>
    <xf numFmtId="0" fontId="44" fillId="0" borderId="6" applyNumberFormat="0" applyFill="0" applyAlignment="0" applyProtection="0"/>
    <xf numFmtId="0" fontId="103" fillId="0" borderId="74" applyNumberFormat="0" applyFill="0" applyAlignment="0" applyProtection="0"/>
    <xf numFmtId="0" fontId="44" fillId="0" borderId="0" applyNumberFormat="0" applyFill="0" applyBorder="0" applyAlignment="0" applyProtection="0"/>
    <xf numFmtId="0" fontId="103" fillId="0" borderId="0" applyNumberFormat="0" applyFill="0" applyBorder="0" applyAlignment="0" applyProtection="0"/>
    <xf numFmtId="0" fontId="45" fillId="0" borderId="7" applyNumberFormat="0" applyFill="0" applyAlignment="0" applyProtection="0"/>
    <xf numFmtId="0" fontId="104" fillId="0" borderId="75" applyNumberFormat="0" applyFill="0" applyAlignment="0" applyProtection="0"/>
    <xf numFmtId="0" fontId="46" fillId="22" borderId="8" applyNumberFormat="0" applyAlignment="0" applyProtection="0"/>
    <xf numFmtId="0" fontId="105" fillId="61" borderId="76" applyNumberFormat="0" applyAlignment="0" applyProtection="0"/>
    <xf numFmtId="0" fontId="47" fillId="0" borderId="0" applyNumberFormat="0" applyFill="0" applyBorder="0" applyAlignment="0" applyProtection="0"/>
    <xf numFmtId="0" fontId="106" fillId="0" borderId="0" applyNumberFormat="0" applyFill="0" applyBorder="0" applyAlignment="0" applyProtection="0"/>
    <xf numFmtId="0" fontId="48" fillId="16" borderId="0" applyNumberFormat="0" applyBorder="0" applyAlignment="0" applyProtection="0"/>
    <xf numFmtId="0" fontId="107" fillId="62" borderId="0" applyNumberFormat="0" applyBorder="0" applyAlignment="0" applyProtection="0"/>
    <xf numFmtId="0" fontId="64" fillId="23" borderId="0"/>
    <xf numFmtId="0" fontId="34" fillId="23" borderId="0"/>
    <xf numFmtId="0" fontId="66" fillId="23" borderId="0"/>
    <xf numFmtId="0" fontId="68"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49" fillId="3" borderId="0" applyNumberFormat="0" applyBorder="0" applyAlignment="0" applyProtection="0"/>
    <xf numFmtId="0" fontId="108" fillId="63" borderId="0" applyNumberFormat="0" applyBorder="0" applyAlignment="0" applyProtection="0"/>
    <xf numFmtId="0" fontId="50" fillId="0" borderId="0" applyNumberFormat="0" applyFill="0" applyBorder="0" applyAlignment="0" applyProtection="0"/>
    <xf numFmtId="0" fontId="109" fillId="0" borderId="0" applyNumberFormat="0" applyFill="0" applyBorder="0" applyAlignment="0" applyProtection="0"/>
    <xf numFmtId="0" fontId="1" fillId="24" borderId="9" applyNumberFormat="0" applyFont="0" applyAlignment="0" applyProtection="0"/>
    <xf numFmtId="0" fontId="70" fillId="64" borderId="77" applyNumberFormat="0" applyFont="0" applyAlignment="0" applyProtection="0"/>
    <xf numFmtId="0" fontId="51" fillId="0" borderId="10" applyNumberFormat="0" applyFill="0" applyAlignment="0" applyProtection="0"/>
    <xf numFmtId="0" fontId="110" fillId="0" borderId="78" applyNumberFormat="0" applyFill="0" applyAlignment="0" applyProtection="0"/>
    <xf numFmtId="0" fontId="52" fillId="0" borderId="0" applyNumberFormat="0" applyFill="0" applyBorder="0" applyAlignment="0" applyProtection="0"/>
    <xf numFmtId="0" fontId="111" fillId="0" borderId="0" applyNumberFormat="0" applyFill="0" applyBorder="0" applyAlignment="0" applyProtection="0"/>
    <xf numFmtId="164" fontId="1" fillId="0" borderId="0" applyFont="0" applyFill="0" applyBorder="0" applyAlignment="0" applyProtection="0"/>
    <xf numFmtId="0" fontId="53" fillId="4" borderId="0" applyNumberFormat="0" applyBorder="0" applyAlignment="0" applyProtection="0"/>
    <xf numFmtId="0" fontId="112" fillId="65" borderId="0" applyNumberFormat="0" applyBorder="0" applyAlignment="0" applyProtection="0"/>
    <xf numFmtId="4" fontId="74" fillId="0" borderId="57">
      <alignment horizontal="right" vertical="top" shrinkToFit="1"/>
    </xf>
    <xf numFmtId="4" fontId="132" fillId="73" borderId="57">
      <alignment horizontal="right" vertical="top" shrinkToFit="1"/>
    </xf>
    <xf numFmtId="4" fontId="137" fillId="48" borderId="56">
      <alignment horizontal="right" shrinkToFit="1"/>
    </xf>
    <xf numFmtId="4" fontId="139" fillId="0" borderId="58">
      <alignment horizontal="right" vertical="top" shrinkToFit="1"/>
    </xf>
  </cellStyleXfs>
  <cellXfs count="1935">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xf numFmtId="164" fontId="9" fillId="0" borderId="16" xfId="0" applyNumberFormat="1" applyFont="1" applyFill="1" applyBorder="1"/>
    <xf numFmtId="164" fontId="9" fillId="0" borderId="17" xfId="0" applyNumberFormat="1" applyFont="1" applyFill="1" applyBorder="1"/>
    <xf numFmtId="164" fontId="9" fillId="0" borderId="17" xfId="204" applyNumberFormat="1" applyFont="1" applyFill="1" applyBorder="1" applyAlignment="1">
      <alignment horizontal="center"/>
    </xf>
    <xf numFmtId="164" fontId="9" fillId="0" borderId="16" xfId="204" applyNumberFormat="1" applyFont="1" applyFill="1" applyBorder="1" applyAlignment="1">
      <alignment horizontal="center"/>
    </xf>
    <xf numFmtId="164" fontId="9" fillId="0" borderId="18" xfId="204" applyNumberFormat="1" applyFont="1" applyFill="1" applyBorder="1" applyAlignment="1">
      <alignment horizontal="center"/>
    </xf>
    <xf numFmtId="164" fontId="9" fillId="0" borderId="19" xfId="204" applyNumberFormat="1" applyFont="1" applyFill="1" applyBorder="1" applyAlignment="1">
      <alignment horizontal="center"/>
    </xf>
    <xf numFmtId="164" fontId="9" fillId="0" borderId="19" xfId="0" applyNumberFormat="1" applyFont="1" applyFill="1" applyBorder="1"/>
    <xf numFmtId="0" fontId="8" fillId="0" borderId="20" xfId="0" applyFont="1" applyFill="1" applyBorder="1"/>
    <xf numFmtId="164" fontId="9" fillId="0" borderId="21" xfId="0" applyNumberFormat="1" applyFont="1" applyFill="1" applyBorder="1"/>
    <xf numFmtId="164" fontId="9" fillId="0" borderId="22" xfId="0" applyNumberFormat="1" applyFont="1" applyFill="1" applyBorder="1"/>
    <xf numFmtId="164" fontId="9" fillId="0" borderId="22" xfId="204" applyNumberFormat="1" applyFont="1" applyFill="1" applyBorder="1" applyAlignment="1">
      <alignment horizontal="center"/>
    </xf>
    <xf numFmtId="164" fontId="9" fillId="0" borderId="21" xfId="204" applyNumberFormat="1" applyFont="1" applyFill="1" applyBorder="1" applyAlignment="1">
      <alignment horizontal="center"/>
    </xf>
    <xf numFmtId="164" fontId="9" fillId="0" borderId="20" xfId="204" applyNumberFormat="1" applyFont="1" applyFill="1" applyBorder="1" applyAlignment="1">
      <alignment horizontal="center"/>
    </xf>
    <xf numFmtId="164" fontId="9" fillId="0" borderId="23" xfId="204" applyNumberFormat="1" applyFont="1" applyFill="1" applyBorder="1" applyAlignment="1">
      <alignment horizontal="center"/>
    </xf>
    <xf numFmtId="164" fontId="9" fillId="0" borderId="23" xfId="0" applyNumberFormat="1" applyFont="1" applyFill="1" applyBorder="1"/>
    <xf numFmtId="0" fontId="8" fillId="0" borderId="13" xfId="0" applyFont="1" applyFill="1" applyBorder="1"/>
    <xf numFmtId="0" fontId="8" fillId="0" borderId="24" xfId="0" applyFont="1" applyFill="1" applyBorder="1"/>
    <xf numFmtId="164" fontId="9" fillId="0" borderId="25" xfId="0" applyNumberFormat="1" applyFont="1" applyFill="1" applyBorder="1"/>
    <xf numFmtId="164" fontId="9" fillId="0" borderId="26" xfId="0" applyNumberFormat="1" applyFont="1" applyFill="1" applyBorder="1"/>
    <xf numFmtId="164" fontId="9" fillId="0" borderId="26" xfId="204" applyNumberFormat="1" applyFont="1" applyFill="1" applyBorder="1" applyAlignment="1">
      <alignment horizontal="center"/>
    </xf>
    <xf numFmtId="164" fontId="9" fillId="0" borderId="25" xfId="204" applyNumberFormat="1" applyFont="1" applyFill="1" applyBorder="1" applyAlignment="1">
      <alignment horizontal="center"/>
    </xf>
    <xf numFmtId="164" fontId="9" fillId="0" borderId="27" xfId="204" applyNumberFormat="1" applyFont="1" applyFill="1" applyBorder="1" applyAlignment="1">
      <alignment horizontal="center"/>
    </xf>
    <xf numFmtId="164" fontId="9" fillId="0" borderId="28" xfId="204" applyNumberFormat="1" applyFont="1" applyFill="1" applyBorder="1" applyAlignment="1">
      <alignment horizontal="center"/>
    </xf>
    <xf numFmtId="164" fontId="9" fillId="0" borderId="28" xfId="0" applyNumberFormat="1" applyFont="1" applyFill="1" applyBorder="1"/>
    <xf numFmtId="0" fontId="8" fillId="0" borderId="14" xfId="0" applyFont="1" applyFill="1" applyBorder="1"/>
    <xf numFmtId="164" fontId="8" fillId="0" borderId="29" xfId="204" applyNumberFormat="1" applyFont="1" applyFill="1" applyBorder="1" applyAlignment="1"/>
    <xf numFmtId="164" fontId="8" fillId="0" borderId="30" xfId="204" applyNumberFormat="1" applyFont="1" applyFill="1" applyBorder="1" applyAlignment="1"/>
    <xf numFmtId="164" fontId="8" fillId="0" borderId="0" xfId="204" applyNumberFormat="1" applyFont="1" applyFill="1" applyBorder="1" applyAlignment="1"/>
    <xf numFmtId="164" fontId="8" fillId="0" borderId="31" xfId="204" applyNumberFormat="1" applyFont="1" applyFill="1" applyBorder="1" applyAlignment="1"/>
    <xf numFmtId="0" fontId="8" fillId="0" borderId="31" xfId="0" applyFont="1" applyFill="1" applyBorder="1"/>
    <xf numFmtId="0" fontId="8" fillId="0" borderId="0" xfId="0" applyFont="1" applyFill="1" applyBorder="1"/>
    <xf numFmtId="165" fontId="8" fillId="0" borderId="17" xfId="204" applyNumberFormat="1" applyFont="1" applyFill="1" applyBorder="1" applyAlignment="1"/>
    <xf numFmtId="165" fontId="8" fillId="0" borderId="16" xfId="204" applyNumberFormat="1" applyFont="1" applyFill="1" applyBorder="1" applyAlignment="1"/>
    <xf numFmtId="165" fontId="8" fillId="0" borderId="32" xfId="204" applyNumberFormat="1" applyFont="1" applyFill="1" applyBorder="1" applyAlignment="1"/>
    <xf numFmtId="165" fontId="8" fillId="0" borderId="33" xfId="204" applyNumberFormat="1" applyFont="1" applyFill="1" applyBorder="1" applyAlignment="1"/>
    <xf numFmtId="165" fontId="8" fillId="0" borderId="0" xfId="204" applyNumberFormat="1" applyFont="1" applyFill="1" applyBorder="1" applyAlignment="1"/>
    <xf numFmtId="0" fontId="8" fillId="0" borderId="21" xfId="0" applyFont="1" applyFill="1" applyBorder="1"/>
    <xf numFmtId="164" fontId="8" fillId="0" borderId="11" xfId="204" applyNumberFormat="1" applyFont="1" applyFill="1" applyBorder="1" applyAlignment="1"/>
    <xf numFmtId="164" fontId="8" fillId="0" borderId="12" xfId="204" applyNumberFormat="1" applyFont="1" applyFill="1" applyBorder="1" applyAlignment="1"/>
    <xf numFmtId="0" fontId="8" fillId="0" borderId="11" xfId="0" applyFont="1" applyFill="1" applyBorder="1"/>
    <xf numFmtId="0" fontId="8" fillId="0" borderId="12" xfId="0" applyFont="1" applyFill="1" applyBorder="1"/>
    <xf numFmtId="0" fontId="10" fillId="0" borderId="12" xfId="0" applyFont="1" applyFill="1" applyBorder="1"/>
    <xf numFmtId="0" fontId="10" fillId="0" borderId="11" xfId="0" applyFont="1" applyFill="1" applyBorder="1"/>
    <xf numFmtId="0" fontId="8" fillId="0" borderId="29" xfId="0" applyFont="1" applyFill="1" applyBorder="1"/>
    <xf numFmtId="0" fontId="8" fillId="0" borderId="30" xfId="0" applyFont="1" applyFill="1" applyBorder="1"/>
    <xf numFmtId="0" fontId="10" fillId="0" borderId="30" xfId="0" applyFont="1" applyFill="1" applyBorder="1"/>
    <xf numFmtId="0" fontId="10" fillId="0" borderId="29" xfId="0" applyFont="1" applyFill="1" applyBorder="1"/>
    <xf numFmtId="164" fontId="8" fillId="0" borderId="14" xfId="204" applyNumberFormat="1" applyFont="1" applyFill="1" applyBorder="1" applyAlignment="1">
      <alignment horizontal="center"/>
    </xf>
    <xf numFmtId="164" fontId="8" fillId="0" borderId="34" xfId="204" applyNumberFormat="1" applyFont="1" applyFill="1" applyBorder="1" applyAlignment="1">
      <alignment horizontal="center"/>
    </xf>
    <xf numFmtId="164" fontId="11" fillId="0" borderId="0" xfId="0" applyNumberFormat="1" applyFont="1"/>
    <xf numFmtId="0" fontId="7" fillId="0" borderId="22" xfId="0" applyFont="1" applyBorder="1" applyAlignment="1"/>
    <xf numFmtId="0" fontId="0" fillId="0" borderId="22" xfId="0" applyBorder="1"/>
    <xf numFmtId="0" fontId="7" fillId="0" borderId="22" xfId="0" applyFont="1" applyBorder="1" applyAlignment="1">
      <alignment wrapText="1"/>
    </xf>
    <xf numFmtId="164" fontId="12" fillId="0" borderId="22" xfId="0" applyNumberFormat="1" applyFont="1" applyFill="1" applyBorder="1"/>
    <xf numFmtId="164" fontId="12" fillId="0" borderId="22" xfId="0" applyNumberFormat="1" applyFont="1" applyBorder="1"/>
    <xf numFmtId="0" fontId="13" fillId="0" borderId="22" xfId="0" applyFont="1" applyBorder="1"/>
    <xf numFmtId="0" fontId="7" fillId="0" borderId="35" xfId="0" applyFont="1" applyBorder="1" applyAlignment="1">
      <alignment wrapText="1"/>
    </xf>
    <xf numFmtId="164" fontId="12" fillId="0" borderId="35" xfId="0" applyNumberFormat="1" applyFont="1" applyFill="1" applyBorder="1"/>
    <xf numFmtId="0" fontId="0" fillId="0" borderId="35" xfId="0" applyBorder="1"/>
    <xf numFmtId="0" fontId="7" fillId="0" borderId="32" xfId="0" applyFont="1" applyBorder="1" applyAlignment="1">
      <alignment wrapText="1"/>
    </xf>
    <xf numFmtId="0" fontId="0" fillId="0" borderId="0" xfId="0" applyBorder="1"/>
    <xf numFmtId="0" fontId="0" fillId="0" borderId="32" xfId="0" applyBorder="1"/>
    <xf numFmtId="0" fontId="7" fillId="0" borderId="35" xfId="0" applyFont="1" applyBorder="1" applyAlignment="1"/>
    <xf numFmtId="164" fontId="12" fillId="0" borderId="35" xfId="0" applyNumberFormat="1" applyFont="1" applyBorder="1"/>
    <xf numFmtId="0" fontId="13" fillId="0" borderId="35" xfId="0" applyFont="1" applyBorder="1"/>
    <xf numFmtId="0" fontId="7" fillId="0" borderId="32" xfId="0" applyFont="1" applyBorder="1" applyAlignment="1"/>
    <xf numFmtId="164" fontId="12" fillId="0" borderId="32" xfId="0" applyNumberFormat="1" applyFont="1" applyFill="1" applyBorder="1"/>
    <xf numFmtId="164" fontId="12" fillId="0" borderId="32" xfId="0" applyNumberFormat="1" applyFont="1" applyBorder="1"/>
    <xf numFmtId="0" fontId="13" fillId="0" borderId="32" xfId="0" applyFont="1" applyBorder="1"/>
    <xf numFmtId="0" fontId="14" fillId="0" borderId="0" xfId="0" applyFont="1" applyAlignment="1">
      <alignment horizontal="center" wrapText="1"/>
    </xf>
    <xf numFmtId="0" fontId="13" fillId="0" borderId="0" xfId="0" applyFont="1"/>
    <xf numFmtId="164" fontId="15" fillId="0" borderId="0" xfId="0" applyNumberFormat="1" applyFont="1" applyFill="1"/>
    <xf numFmtId="0" fontId="13" fillId="0" borderId="0" xfId="0" applyFont="1" applyBorder="1"/>
    <xf numFmtId="0" fontId="0" fillId="0" borderId="0" xfId="0" applyFill="1"/>
    <xf numFmtId="0" fontId="16" fillId="0" borderId="0" xfId="0" applyFont="1" applyFill="1"/>
    <xf numFmtId="0" fontId="17" fillId="0" borderId="0" xfId="0" applyFont="1" applyFill="1"/>
    <xf numFmtId="0" fontId="1" fillId="0" borderId="0" xfId="0" applyFont="1" applyFill="1"/>
    <xf numFmtId="0" fontId="18" fillId="0" borderId="0" xfId="0" applyFont="1" applyFill="1"/>
    <xf numFmtId="0" fontId="19" fillId="0" borderId="0" xfId="0" applyFont="1" applyFill="1"/>
    <xf numFmtId="0" fontId="18" fillId="0" borderId="11" xfId="0" applyFont="1" applyFill="1" applyBorder="1" applyAlignment="1">
      <alignment horizontal="center"/>
    </xf>
    <xf numFmtId="0" fontId="18" fillId="0" borderId="14" xfId="0" applyFont="1" applyFill="1" applyBorder="1" applyAlignment="1">
      <alignment horizontal="center"/>
    </xf>
    <xf numFmtId="0" fontId="18" fillId="0" borderId="15"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0" fontId="18" fillId="0" borderId="15" xfId="0" applyFont="1" applyFill="1" applyBorder="1"/>
    <xf numFmtId="164" fontId="21" fillId="0" borderId="16" xfId="204" applyNumberFormat="1" applyFont="1" applyFill="1" applyBorder="1" applyAlignment="1">
      <alignment horizontal="center"/>
    </xf>
    <xf numFmtId="164" fontId="21" fillId="0" borderId="18" xfId="204" applyNumberFormat="1" applyFont="1" applyFill="1" applyBorder="1" applyAlignment="1">
      <alignment horizontal="center"/>
    </xf>
    <xf numFmtId="164" fontId="21" fillId="0" borderId="17" xfId="204" applyNumberFormat="1" applyFont="1" applyFill="1" applyBorder="1" applyAlignment="1">
      <alignment horizontal="center"/>
    </xf>
    <xf numFmtId="164" fontId="21" fillId="0" borderId="23" xfId="204" applyNumberFormat="1" applyFont="1" applyFill="1" applyBorder="1" applyAlignment="1">
      <alignment horizontal="center"/>
    </xf>
    <xf numFmtId="164" fontId="21" fillId="0" borderId="21" xfId="204" applyNumberFormat="1" applyFont="1" applyFill="1" applyBorder="1" applyAlignment="1">
      <alignment horizontal="center"/>
    </xf>
    <xf numFmtId="0" fontId="18" fillId="0" borderId="20" xfId="0" applyFont="1" applyFill="1" applyBorder="1"/>
    <xf numFmtId="164" fontId="21" fillId="0" borderId="20" xfId="204" applyNumberFormat="1" applyFont="1" applyFill="1" applyBorder="1" applyAlignment="1">
      <alignment horizontal="center"/>
    </xf>
    <xf numFmtId="164" fontId="21" fillId="0" borderId="22" xfId="204" applyNumberFormat="1" applyFont="1" applyFill="1" applyBorder="1" applyAlignment="1">
      <alignment horizontal="center"/>
    </xf>
    <xf numFmtId="0" fontId="18" fillId="0" borderId="13" xfId="0" applyFont="1" applyFill="1" applyBorder="1"/>
    <xf numFmtId="0" fontId="18" fillId="0" borderId="24" xfId="0" applyFont="1" applyFill="1" applyBorder="1"/>
    <xf numFmtId="164" fontId="21" fillId="0" borderId="25" xfId="204" applyNumberFormat="1" applyFont="1" applyFill="1" applyBorder="1" applyAlignment="1">
      <alignment horizontal="center"/>
    </xf>
    <xf numFmtId="164" fontId="21" fillId="0" borderId="27" xfId="204" applyNumberFormat="1" applyFont="1" applyFill="1" applyBorder="1" applyAlignment="1">
      <alignment horizontal="center"/>
    </xf>
    <xf numFmtId="164" fontId="21" fillId="0" borderId="26" xfId="204" applyNumberFormat="1" applyFont="1" applyFill="1" applyBorder="1" applyAlignment="1">
      <alignment horizontal="center"/>
    </xf>
    <xf numFmtId="164" fontId="17" fillId="0" borderId="25" xfId="204" applyNumberFormat="1" applyFont="1" applyFill="1" applyBorder="1" applyAlignment="1">
      <alignment horizontal="center"/>
    </xf>
    <xf numFmtId="164" fontId="17" fillId="0" borderId="29" xfId="204" applyNumberFormat="1" applyFont="1" applyFill="1" applyBorder="1" applyAlignment="1"/>
    <xf numFmtId="164" fontId="17" fillId="0" borderId="24" xfId="204" applyNumberFormat="1" applyFont="1" applyFill="1" applyBorder="1" applyAlignment="1"/>
    <xf numFmtId="164" fontId="17" fillId="0" borderId="31" xfId="204" applyNumberFormat="1" applyFont="1" applyFill="1" applyBorder="1" applyAlignment="1"/>
    <xf numFmtId="164" fontId="17" fillId="0" borderId="14" xfId="204" applyNumberFormat="1" applyFont="1" applyFill="1" applyBorder="1" applyAlignment="1"/>
    <xf numFmtId="164" fontId="17" fillId="0" borderId="30" xfId="204" applyNumberFormat="1" applyFont="1" applyFill="1" applyBorder="1" applyAlignment="1"/>
    <xf numFmtId="164" fontId="17" fillId="0" borderId="36" xfId="204" applyNumberFormat="1" applyFont="1" applyFill="1" applyBorder="1" applyAlignment="1"/>
    <xf numFmtId="164" fontId="17" fillId="0" borderId="11" xfId="204" applyNumberFormat="1" applyFont="1" applyFill="1" applyBorder="1" applyAlignment="1"/>
    <xf numFmtId="164" fontId="17" fillId="0" borderId="34" xfId="204" applyNumberFormat="1" applyFont="1" applyFill="1" applyBorder="1" applyAlignment="1"/>
    <xf numFmtId="164" fontId="17" fillId="0" borderId="16" xfId="204" applyNumberFormat="1" applyFont="1" applyFill="1" applyBorder="1" applyAlignment="1"/>
    <xf numFmtId="164" fontId="17" fillId="0" borderId="33" xfId="204" applyNumberFormat="1" applyFont="1" applyFill="1" applyBorder="1" applyAlignment="1"/>
    <xf numFmtId="165" fontId="17" fillId="0" borderId="37" xfId="204" applyNumberFormat="1" applyFont="1" applyFill="1" applyBorder="1" applyAlignment="1"/>
    <xf numFmtId="164" fontId="17" fillId="0" borderId="32" xfId="204" applyNumberFormat="1" applyFont="1" applyFill="1" applyBorder="1" applyAlignment="1"/>
    <xf numFmtId="164" fontId="23" fillId="0" borderId="16" xfId="204" applyNumberFormat="1" applyFont="1" applyFill="1" applyBorder="1" applyAlignment="1"/>
    <xf numFmtId="164" fontId="17" fillId="0" borderId="12" xfId="204" applyNumberFormat="1" applyFont="1" applyFill="1" applyBorder="1" applyAlignment="1"/>
    <xf numFmtId="0" fontId="25" fillId="0" borderId="11" xfId="0" applyFont="1" applyFill="1" applyBorder="1"/>
    <xf numFmtId="164" fontId="25" fillId="0" borderId="11" xfId="0" applyNumberFormat="1" applyFont="1" applyFill="1" applyBorder="1"/>
    <xf numFmtId="164" fontId="25" fillId="0" borderId="31" xfId="0" applyNumberFormat="1" applyFont="1" applyFill="1" applyBorder="1"/>
    <xf numFmtId="164" fontId="25" fillId="0" borderId="0" xfId="0" applyNumberFormat="1" applyFont="1" applyFill="1" applyBorder="1"/>
    <xf numFmtId="0" fontId="25" fillId="0" borderId="12" xfId="0" applyFont="1" applyFill="1" applyBorder="1"/>
    <xf numFmtId="0" fontId="25" fillId="0" borderId="29" xfId="0" applyFont="1" applyFill="1" applyBorder="1"/>
    <xf numFmtId="164" fontId="25" fillId="0" borderId="29" xfId="0" applyNumberFormat="1" applyFont="1" applyFill="1" applyBorder="1"/>
    <xf numFmtId="164" fontId="25" fillId="0" borderId="30" xfId="0" applyNumberFormat="1" applyFont="1" applyFill="1" applyBorder="1"/>
    <xf numFmtId="0" fontId="25" fillId="0" borderId="30" xfId="0" applyFont="1" applyFill="1" applyBorder="1"/>
    <xf numFmtId="164" fontId="17" fillId="0" borderId="29" xfId="204" applyNumberFormat="1" applyFont="1" applyFill="1" applyBorder="1" applyAlignment="1">
      <alignment horizontal="center"/>
    </xf>
    <xf numFmtId="164" fontId="17" fillId="0" borderId="30" xfId="204" applyNumberFormat="1" applyFont="1" applyFill="1" applyBorder="1" applyAlignment="1">
      <alignment horizontal="center"/>
    </xf>
    <xf numFmtId="164" fontId="17" fillId="0" borderId="36" xfId="204" applyNumberFormat="1" applyFont="1" applyFill="1" applyBorder="1" applyAlignment="1">
      <alignment horizontal="center"/>
    </xf>
    <xf numFmtId="164" fontId="17" fillId="0" borderId="14" xfId="204" applyNumberFormat="1" applyFont="1" applyFill="1" applyBorder="1" applyAlignment="1">
      <alignment horizontal="center"/>
    </xf>
    <xf numFmtId="164" fontId="17" fillId="0" borderId="34" xfId="204" applyNumberFormat="1" applyFont="1" applyFill="1" applyBorder="1" applyAlignment="1">
      <alignment horizontal="center"/>
    </xf>
    <xf numFmtId="164" fontId="27" fillId="0" borderId="0" xfId="0" applyNumberFormat="1" applyFont="1" applyFill="1"/>
    <xf numFmtId="0" fontId="5" fillId="0" borderId="0" xfId="0" applyFont="1" applyFill="1"/>
    <xf numFmtId="164" fontId="28" fillId="0" borderId="0" xfId="0" applyNumberFormat="1" applyFont="1" applyFill="1"/>
    <xf numFmtId="0" fontId="5" fillId="0" borderId="0" xfId="0" applyFont="1" applyAlignment="1">
      <alignment horizontal="center" wrapText="1"/>
    </xf>
    <xf numFmtId="0" fontId="10" fillId="0" borderId="0" xfId="0" applyFont="1"/>
    <xf numFmtId="0" fontId="7" fillId="0" borderId="38" xfId="0" applyFont="1" applyFill="1" applyBorder="1" applyAlignment="1">
      <alignment horizontal="center" vertical="center" wrapText="1"/>
    </xf>
    <xf numFmtId="0" fontId="7" fillId="0" borderId="38" xfId="0" applyFont="1" applyFill="1" applyBorder="1" applyAlignment="1">
      <alignment horizontal="center" vertical="center"/>
    </xf>
    <xf numFmtId="0" fontId="7" fillId="0" borderId="0" xfId="0" applyFont="1" applyAlignment="1">
      <alignment horizontal="center" vertical="center"/>
    </xf>
    <xf numFmtId="0" fontId="29" fillId="0" borderId="38" xfId="0" applyFont="1" applyFill="1" applyBorder="1"/>
    <xf numFmtId="164" fontId="30" fillId="0" borderId="38" xfId="204" applyFont="1" applyFill="1" applyBorder="1" applyAlignment="1"/>
    <xf numFmtId="164" fontId="30" fillId="0" borderId="38" xfId="204" applyFont="1" applyBorder="1" applyAlignment="1">
      <alignment horizontal="right" wrapText="1" shrinkToFit="1"/>
    </xf>
    <xf numFmtId="164" fontId="20" fillId="0" borderId="38" xfId="204" applyFont="1" applyBorder="1" applyAlignment="1">
      <alignment horizontal="right" wrapText="1" shrinkToFit="1"/>
    </xf>
    <xf numFmtId="164" fontId="30" fillId="0" borderId="38" xfId="204" applyFont="1" applyFill="1" applyBorder="1" applyAlignment="1">
      <alignment horizontal="right" wrapText="1" shrinkToFit="1"/>
    </xf>
    <xf numFmtId="0" fontId="29" fillId="0" borderId="0" xfId="0" applyFont="1"/>
    <xf numFmtId="0" fontId="29" fillId="0" borderId="39" xfId="0" applyFont="1" applyFill="1" applyBorder="1"/>
    <xf numFmtId="164" fontId="20" fillId="0" borderId="40" xfId="204" applyFont="1" applyFill="1" applyBorder="1" applyAlignment="1"/>
    <xf numFmtId="164" fontId="20" fillId="0" borderId="38" xfId="204" applyFont="1" applyFill="1" applyBorder="1" applyAlignment="1"/>
    <xf numFmtId="164" fontId="30" fillId="0" borderId="40" xfId="204" applyFont="1" applyFill="1" applyBorder="1" applyAlignment="1"/>
    <xf numFmtId="164" fontId="8" fillId="0" borderId="14" xfId="204" applyNumberFormat="1" applyFont="1" applyFill="1" applyBorder="1" applyAlignment="1"/>
    <xf numFmtId="164" fontId="21" fillId="0" borderId="15" xfId="204" applyNumberFormat="1" applyFont="1" applyFill="1" applyBorder="1" applyAlignment="1">
      <alignment horizontal="center"/>
    </xf>
    <xf numFmtId="164" fontId="21" fillId="0" borderId="0" xfId="0" applyNumberFormat="1" applyFont="1" applyFill="1"/>
    <xf numFmtId="0" fontId="18" fillId="0" borderId="36" xfId="0" applyFont="1" applyFill="1" applyBorder="1"/>
    <xf numFmtId="165" fontId="17" fillId="0" borderId="31" xfId="204" applyNumberFormat="1" applyFont="1" applyFill="1" applyBorder="1" applyAlignment="1"/>
    <xf numFmtId="0" fontId="25" fillId="0" borderId="31" xfId="0" applyFont="1" applyFill="1" applyBorder="1"/>
    <xf numFmtId="164" fontId="21" fillId="0" borderId="24" xfId="204" applyNumberFormat="1" applyFont="1" applyFill="1" applyBorder="1" applyAlignment="1">
      <alignment horizontal="center"/>
    </xf>
    <xf numFmtId="0" fontId="25" fillId="0" borderId="0" xfId="0" applyFont="1" applyFill="1"/>
    <xf numFmtId="0" fontId="17" fillId="0" borderId="0" xfId="0" applyFont="1" applyFill="1" applyAlignment="1">
      <alignment horizontal="center" vertical="center" wrapText="1"/>
    </xf>
    <xf numFmtId="164" fontId="6" fillId="0" borderId="0" xfId="0" applyNumberFormat="1" applyFont="1" applyFill="1" applyAlignment="1">
      <alignment vertical="center" wrapText="1"/>
    </xf>
    <xf numFmtId="0" fontId="26" fillId="0" borderId="0" xfId="0" applyFont="1" applyFill="1" applyAlignment="1">
      <alignment vertical="center" wrapText="1"/>
    </xf>
    <xf numFmtId="0" fontId="29" fillId="0" borderId="38" xfId="0" applyFont="1" applyFill="1" applyBorder="1" applyAlignment="1">
      <alignment horizontal="center" vertical="center" wrapText="1"/>
    </xf>
    <xf numFmtId="0" fontId="32" fillId="0" borderId="38" xfId="0" applyFont="1" applyFill="1" applyBorder="1" applyAlignment="1">
      <alignment horizontal="center" vertical="center" wrapText="1"/>
    </xf>
    <xf numFmtId="164" fontId="24" fillId="0" borderId="21" xfId="204" applyFont="1" applyFill="1" applyBorder="1" applyAlignment="1">
      <alignment horizontal="center" wrapText="1" shrinkToFit="1"/>
    </xf>
    <xf numFmtId="164" fontId="24" fillId="0" borderId="17" xfId="204" applyFont="1" applyFill="1" applyBorder="1" applyAlignment="1">
      <alignment horizontal="center" wrapText="1" shrinkToFit="1"/>
    </xf>
    <xf numFmtId="164" fontId="24" fillId="0" borderId="22" xfId="204" applyFont="1" applyFill="1" applyBorder="1" applyAlignment="1">
      <alignment horizontal="center" wrapText="1" shrinkToFit="1"/>
    </xf>
    <xf numFmtId="164" fontId="24" fillId="0" borderId="26" xfId="204" applyFont="1" applyFill="1" applyBorder="1" applyAlignment="1">
      <alignment horizontal="center" wrapText="1" shrinkToFit="1"/>
    </xf>
    <xf numFmtId="0" fontId="3" fillId="0" borderId="0" xfId="0" applyFont="1" applyAlignment="1">
      <alignment horizontal="center"/>
    </xf>
    <xf numFmtId="0" fontId="3" fillId="0" borderId="0" xfId="0" applyFont="1" applyAlignment="1">
      <alignment horizontal="center" vertical="center" wrapText="1"/>
    </xf>
    <xf numFmtId="0" fontId="3" fillId="0" borderId="38" xfId="0" applyFont="1" applyBorder="1" applyAlignment="1">
      <alignment horizontal="center" vertical="center" wrapText="1"/>
    </xf>
    <xf numFmtId="0" fontId="3" fillId="0" borderId="38" xfId="0" applyFont="1" applyBorder="1" applyAlignment="1">
      <alignment vertical="center" wrapText="1"/>
    </xf>
    <xf numFmtId="49" fontId="7" fillId="0" borderId="38" xfId="0" applyNumberFormat="1" applyFont="1" applyBorder="1" applyAlignment="1">
      <alignment horizontal="center" vertical="center" wrapText="1"/>
    </xf>
    <xf numFmtId="166" fontId="7" fillId="0" borderId="38" xfId="204" applyNumberFormat="1" applyFont="1" applyBorder="1" applyAlignment="1">
      <alignment vertical="center"/>
    </xf>
    <xf numFmtId="0" fontId="3" fillId="0" borderId="38" xfId="0" applyFont="1" applyBorder="1" applyAlignment="1">
      <alignment vertical="center"/>
    </xf>
    <xf numFmtId="0" fontId="3" fillId="0" borderId="38" xfId="0" applyFont="1" applyBorder="1" applyAlignment="1">
      <alignment horizontal="center" vertical="center"/>
    </xf>
    <xf numFmtId="164" fontId="12" fillId="0" borderId="38" xfId="204" applyFont="1" applyBorder="1" applyAlignment="1">
      <alignment horizontal="center" vertical="center" wrapText="1"/>
    </xf>
    <xf numFmtId="164" fontId="7" fillId="0" borderId="38" xfId="204" applyNumberFormat="1" applyFont="1" applyBorder="1" applyAlignment="1">
      <alignment horizontal="center" vertical="center"/>
    </xf>
    <xf numFmtId="164" fontId="7" fillId="0" borderId="38" xfId="204" applyNumberFormat="1" applyFont="1" applyBorder="1" applyAlignment="1">
      <alignment vertical="center"/>
    </xf>
    <xf numFmtId="0" fontId="32" fillId="0" borderId="38" xfId="0" applyFont="1" applyBorder="1" applyAlignment="1">
      <alignment horizontal="center" vertical="center" wrapText="1"/>
    </xf>
    <xf numFmtId="0" fontId="32" fillId="0" borderId="0" xfId="0" applyFont="1" applyAlignment="1">
      <alignment horizontal="center" vertical="center" wrapText="1"/>
    </xf>
    <xf numFmtId="0" fontId="32" fillId="25" borderId="38" xfId="0" quotePrefix="1" applyFont="1" applyFill="1" applyBorder="1" applyAlignment="1">
      <alignment horizontal="center" vertical="center" wrapText="1"/>
    </xf>
    <xf numFmtId="0" fontId="32" fillId="0" borderId="38" xfId="0" quotePrefix="1" applyFont="1" applyBorder="1" applyAlignment="1">
      <alignment horizontal="center" vertical="center" wrapText="1"/>
    </xf>
    <xf numFmtId="164" fontId="31" fillId="0" borderId="38" xfId="204" applyFont="1" applyBorder="1" applyAlignment="1">
      <alignment horizontal="center" vertical="center" wrapText="1"/>
    </xf>
    <xf numFmtId="164" fontId="31" fillId="0" borderId="38" xfId="204" applyNumberFormat="1" applyFont="1" applyBorder="1" applyAlignment="1">
      <alignment vertical="center"/>
    </xf>
    <xf numFmtId="49" fontId="29" fillId="0" borderId="38" xfId="0" applyNumberFormat="1" applyFont="1" applyBorder="1" applyAlignment="1">
      <alignment horizontal="center" vertical="center" wrapText="1"/>
    </xf>
    <xf numFmtId="0" fontId="32" fillId="0" borderId="38" xfId="0" applyFont="1" applyBorder="1" applyAlignment="1">
      <alignment vertical="center" wrapText="1"/>
    </xf>
    <xf numFmtId="49" fontId="29" fillId="25" borderId="38" xfId="0" applyNumberFormat="1" applyFont="1" applyFill="1" applyBorder="1" applyAlignment="1">
      <alignment horizontal="center" vertical="center" wrapText="1"/>
    </xf>
    <xf numFmtId="0" fontId="32" fillId="0" borderId="38" xfId="0" applyFont="1" applyBorder="1" applyAlignment="1">
      <alignment vertical="center"/>
    </xf>
    <xf numFmtId="49" fontId="32" fillId="0" borderId="38" xfId="0" applyNumberFormat="1" applyFont="1" applyBorder="1" applyAlignment="1">
      <alignment horizontal="center" vertical="center" wrapText="1"/>
    </xf>
    <xf numFmtId="0" fontId="29" fillId="25" borderId="38" xfId="0" applyFont="1" applyFill="1" applyBorder="1" applyAlignment="1">
      <alignment horizontal="center" vertical="center" wrapText="1"/>
    </xf>
    <xf numFmtId="0" fontId="29" fillId="0" borderId="38" xfId="0" applyFont="1" applyBorder="1" applyAlignment="1">
      <alignment horizontal="center" vertical="center" wrapText="1"/>
    </xf>
    <xf numFmtId="0" fontId="29" fillId="0" borderId="38" xfId="0" applyFont="1" applyBorder="1" applyAlignment="1">
      <alignment vertical="center"/>
    </xf>
    <xf numFmtId="164" fontId="31" fillId="25" borderId="38" xfId="0" applyNumberFormat="1" applyFont="1" applyFill="1" applyBorder="1" applyAlignment="1">
      <alignment horizontal="center" vertical="center" wrapText="1"/>
    </xf>
    <xf numFmtId="0" fontId="31" fillId="0" borderId="38" xfId="0" applyFont="1" applyBorder="1" applyAlignment="1">
      <alignment horizontal="center" vertical="center" wrapText="1"/>
    </xf>
    <xf numFmtId="164" fontId="31" fillId="0" borderId="38" xfId="204" applyFont="1" applyFill="1" applyBorder="1" applyAlignment="1">
      <alignment horizontal="center" vertical="center" wrapText="1"/>
    </xf>
    <xf numFmtId="164" fontId="23" fillId="0" borderId="18" xfId="204" applyNumberFormat="1" applyFont="1" applyFill="1" applyBorder="1" applyAlignment="1"/>
    <xf numFmtId="164" fontId="29" fillId="0" borderId="38" xfId="204" applyFont="1" applyFill="1" applyBorder="1" applyAlignment="1">
      <alignment vertical="center" wrapText="1"/>
    </xf>
    <xf numFmtId="164" fontId="17" fillId="0" borderId="37" xfId="204" applyNumberFormat="1" applyFont="1" applyFill="1" applyBorder="1" applyAlignment="1"/>
    <xf numFmtId="164" fontId="25" fillId="0" borderId="13" xfId="0" applyNumberFormat="1" applyFont="1" applyFill="1" applyBorder="1"/>
    <xf numFmtId="164" fontId="25" fillId="0" borderId="24" xfId="0" applyNumberFormat="1" applyFont="1" applyFill="1" applyBorder="1"/>
    <xf numFmtId="164" fontId="17" fillId="0" borderId="24" xfId="204" applyNumberFormat="1" applyFont="1" applyFill="1" applyBorder="1" applyAlignment="1">
      <alignment horizontal="center"/>
    </xf>
    <xf numFmtId="0" fontId="25" fillId="0" borderId="15" xfId="0" applyFont="1" applyFill="1" applyBorder="1"/>
    <xf numFmtId="0" fontId="25" fillId="0" borderId="24" xfId="0" applyFont="1" applyFill="1" applyBorder="1"/>
    <xf numFmtId="164" fontId="24" fillId="0" borderId="38" xfId="204" applyFont="1" applyFill="1" applyBorder="1" applyAlignment="1">
      <alignment horizontal="right" wrapText="1" shrinkToFit="1"/>
    </xf>
    <xf numFmtId="0" fontId="8" fillId="0" borderId="15" xfId="0" applyFont="1" applyFill="1" applyBorder="1" applyAlignment="1">
      <alignment horizontal="center" vertical="center" wrapText="1"/>
    </xf>
    <xf numFmtId="164" fontId="9" fillId="0" borderId="18" xfId="0" applyNumberFormat="1" applyFont="1" applyFill="1" applyBorder="1"/>
    <xf numFmtId="164" fontId="9" fillId="0" borderId="20" xfId="0" applyNumberFormat="1" applyFont="1" applyFill="1" applyBorder="1"/>
    <xf numFmtId="164" fontId="9" fillId="0" borderId="27" xfId="0" applyNumberFormat="1" applyFont="1" applyFill="1" applyBorder="1"/>
    <xf numFmtId="164" fontId="8" fillId="0" borderId="24" xfId="204" applyNumberFormat="1" applyFont="1" applyFill="1" applyBorder="1" applyAlignment="1"/>
    <xf numFmtId="164" fontId="8" fillId="0" borderId="15" xfId="204" applyNumberFormat="1" applyFont="1" applyFill="1" applyBorder="1" applyAlignment="1"/>
    <xf numFmtId="164" fontId="12" fillId="0" borderId="38" xfId="204" applyNumberFormat="1" applyFont="1" applyFill="1" applyBorder="1" applyAlignment="1">
      <alignment vertical="center"/>
    </xf>
    <xf numFmtId="0" fontId="7" fillId="0" borderId="38" xfId="0" applyFont="1" applyBorder="1" applyAlignment="1">
      <alignment horizontal="center" vertical="center"/>
    </xf>
    <xf numFmtId="164" fontId="12" fillId="0" borderId="38" xfId="204" applyNumberFormat="1" applyFont="1" applyBorder="1" applyAlignment="1">
      <alignment vertical="center"/>
    </xf>
    <xf numFmtId="0" fontId="23" fillId="0" borderId="36" xfId="0" applyFont="1" applyFill="1" applyBorder="1" applyAlignment="1">
      <alignment horizontal="center" vertical="center"/>
    </xf>
    <xf numFmtId="0" fontId="23" fillId="0" borderId="0" xfId="0" applyFont="1" applyFill="1" applyAlignment="1">
      <alignment horizontal="center" vertical="center"/>
    </xf>
    <xf numFmtId="164" fontId="24" fillId="0" borderId="0" xfId="204" applyNumberFormat="1" applyFont="1" applyFill="1" applyBorder="1" applyAlignment="1">
      <alignment horizontal="right" vertical="center" wrapText="1" shrinkToFit="1"/>
    </xf>
    <xf numFmtId="0" fontId="23" fillId="0" borderId="0" xfId="0" applyFont="1" applyFill="1" applyAlignment="1">
      <alignment vertical="center"/>
    </xf>
    <xf numFmtId="0" fontId="23" fillId="0" borderId="0" xfId="0" applyFont="1" applyFill="1" applyBorder="1" applyAlignment="1">
      <alignment horizontal="center" vertical="center"/>
    </xf>
    <xf numFmtId="164" fontId="24" fillId="0" borderId="0" xfId="0" applyNumberFormat="1" applyFont="1" applyFill="1" applyAlignment="1">
      <alignment vertical="center"/>
    </xf>
    <xf numFmtId="0" fontId="23" fillId="0" borderId="38" xfId="0" applyFont="1" applyFill="1" applyBorder="1" applyAlignment="1">
      <alignment horizontal="center" vertical="center" wrapText="1"/>
    </xf>
    <xf numFmtId="164" fontId="23" fillId="0" borderId="0" xfId="0" applyNumberFormat="1" applyFont="1" applyFill="1" applyAlignment="1">
      <alignment vertical="center" wrapText="1"/>
    </xf>
    <xf numFmtId="164" fontId="24" fillId="0" borderId="0" xfId="0" applyNumberFormat="1" applyFont="1" applyFill="1" applyAlignment="1">
      <alignment vertical="center" wrapText="1"/>
    </xf>
    <xf numFmtId="0" fontId="23" fillId="0" borderId="0" xfId="0" applyFont="1" applyFill="1" applyAlignment="1">
      <alignment vertical="center" wrapText="1"/>
    </xf>
    <xf numFmtId="164" fontId="24" fillId="0" borderId="0" xfId="204" applyFont="1" applyFill="1" applyAlignment="1">
      <alignment vertical="center" wrapText="1"/>
    </xf>
    <xf numFmtId="164" fontId="23" fillId="0" borderId="0" xfId="0" applyNumberFormat="1" applyFont="1" applyFill="1" applyAlignment="1">
      <alignment vertical="center"/>
    </xf>
    <xf numFmtId="0" fontId="24" fillId="0" borderId="0" xfId="0" applyFont="1" applyFill="1" applyAlignment="1">
      <alignment vertical="center"/>
    </xf>
    <xf numFmtId="0" fontId="23" fillId="0" borderId="11"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0" xfId="0" applyFont="1" applyFill="1" applyBorder="1" applyAlignment="1">
      <alignment vertical="center"/>
    </xf>
    <xf numFmtId="164" fontId="24" fillId="0" borderId="0" xfId="0" applyNumberFormat="1" applyFont="1" applyFill="1" applyBorder="1" applyAlignment="1">
      <alignment vertical="center"/>
    </xf>
    <xf numFmtId="164" fontId="24" fillId="0" borderId="0" xfId="0" applyNumberFormat="1" applyFont="1" applyFill="1" applyAlignment="1">
      <alignment horizontal="center" vertical="center"/>
    </xf>
    <xf numFmtId="0" fontId="23" fillId="0" borderId="0" xfId="0" applyFont="1" applyFill="1" applyBorder="1" applyAlignment="1">
      <alignment horizontal="right" vertical="center"/>
    </xf>
    <xf numFmtId="0" fontId="23" fillId="0" borderId="0" xfId="0" applyFont="1" applyFill="1" applyBorder="1" applyAlignment="1">
      <alignment horizontal="left" vertical="center"/>
    </xf>
    <xf numFmtId="164" fontId="23" fillId="0" borderId="0" xfId="204" applyFont="1" applyFill="1" applyAlignment="1">
      <alignment vertical="center"/>
    </xf>
    <xf numFmtId="4" fontId="23" fillId="0" borderId="0" xfId="0" applyNumberFormat="1" applyFont="1" applyFill="1" applyBorder="1" applyAlignment="1">
      <alignment horizontal="right" vertical="center" shrinkToFit="1"/>
    </xf>
    <xf numFmtId="0" fontId="24"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Alignment="1">
      <alignment horizontal="center" vertical="center" wrapText="1"/>
    </xf>
    <xf numFmtId="0" fontId="23" fillId="0" borderId="0" xfId="0" applyFont="1" applyAlignment="1">
      <alignment horizontal="center" vertical="center"/>
    </xf>
    <xf numFmtId="49" fontId="32" fillId="0" borderId="38" xfId="0" applyNumberFormat="1" applyFont="1" applyFill="1" applyBorder="1" applyAlignment="1">
      <alignment horizontal="center" vertical="center" wrapText="1"/>
    </xf>
    <xf numFmtId="49" fontId="29" fillId="0" borderId="38" xfId="0" applyNumberFormat="1" applyFont="1" applyFill="1" applyBorder="1" applyAlignment="1">
      <alignment horizontal="center" vertical="center" wrapText="1"/>
    </xf>
    <xf numFmtId="0" fontId="32" fillId="25" borderId="38" xfId="0" applyNumberFormat="1" applyFont="1" applyFill="1" applyBorder="1" applyAlignment="1">
      <alignment vertical="center" wrapText="1"/>
    </xf>
    <xf numFmtId="164" fontId="24" fillId="0" borderId="0" xfId="0" applyNumberFormat="1" applyFont="1" applyFill="1" applyAlignment="1"/>
    <xf numFmtId="0" fontId="29" fillId="0" borderId="0" xfId="0" applyFont="1" applyFill="1" applyBorder="1"/>
    <xf numFmtId="164" fontId="20" fillId="0" borderId="0" xfId="204" applyFont="1" applyFill="1" applyBorder="1" applyAlignment="1"/>
    <xf numFmtId="0" fontId="29" fillId="0" borderId="0" xfId="0" applyFont="1" applyBorder="1" applyAlignment="1">
      <alignment horizontal="center" vertical="center"/>
    </xf>
    <xf numFmtId="0" fontId="29" fillId="0" borderId="0" xfId="0" applyFont="1" applyFill="1" applyBorder="1" applyAlignment="1">
      <alignment horizontal="center" vertical="center"/>
    </xf>
    <xf numFmtId="0" fontId="29" fillId="0" borderId="0" xfId="0" applyFont="1" applyFill="1"/>
    <xf numFmtId="164" fontId="12" fillId="0" borderId="0" xfId="0" applyNumberFormat="1" applyFont="1" applyFill="1"/>
    <xf numFmtId="164" fontId="24" fillId="0" borderId="0" xfId="0" applyNumberFormat="1" applyFont="1" applyFill="1" applyBorder="1" applyAlignment="1">
      <alignment horizontal="center" vertical="center"/>
    </xf>
    <xf numFmtId="165" fontId="17" fillId="0" borderId="13" xfId="204" applyNumberFormat="1" applyFont="1" applyFill="1" applyBorder="1" applyAlignment="1"/>
    <xf numFmtId="0" fontId="25" fillId="0" borderId="13" xfId="0" applyFont="1" applyFill="1" applyBorder="1"/>
    <xf numFmtId="0" fontId="36" fillId="0" borderId="0" xfId="0" applyFont="1" applyAlignment="1">
      <alignment horizontal="left"/>
    </xf>
    <xf numFmtId="164" fontId="26" fillId="0" borderId="0" xfId="0" applyNumberFormat="1" applyFont="1" applyFill="1" applyAlignment="1">
      <alignment vertical="center" wrapText="1"/>
    </xf>
    <xf numFmtId="164" fontId="6" fillId="0" borderId="0" xfId="204" applyFont="1" applyFill="1" applyAlignment="1">
      <alignment vertical="center" wrapText="1"/>
    </xf>
    <xf numFmtId="49" fontId="32" fillId="0" borderId="41" xfId="0" applyNumberFormat="1" applyFont="1" applyBorder="1" applyAlignment="1">
      <alignment horizontal="center" vertical="center" wrapText="1"/>
    </xf>
    <xf numFmtId="4" fontId="23" fillId="0" borderId="0" xfId="192" applyNumberFormat="1" applyFont="1" applyBorder="1" applyAlignment="1">
      <alignment horizontal="right" shrinkToFit="1"/>
    </xf>
    <xf numFmtId="164" fontId="24" fillId="0" borderId="38" xfId="204" applyFont="1" applyFill="1" applyBorder="1" applyAlignment="1"/>
    <xf numFmtId="0" fontId="54" fillId="0" borderId="0" xfId="0" applyFont="1"/>
    <xf numFmtId="49" fontId="29" fillId="0" borderId="38" xfId="0" quotePrefix="1" applyNumberFormat="1" applyFont="1" applyFill="1" applyBorder="1" applyAlignment="1">
      <alignment horizontal="center" vertical="center" wrapText="1"/>
    </xf>
    <xf numFmtId="164" fontId="29" fillId="0" borderId="38" xfId="204" applyFont="1" applyFill="1" applyBorder="1" applyAlignment="1">
      <alignment horizontal="center" vertical="center" wrapText="1"/>
    </xf>
    <xf numFmtId="4" fontId="23" fillId="0" borderId="0" xfId="0" applyNumberFormat="1" applyFont="1" applyFill="1" applyBorder="1" applyAlignment="1">
      <alignment horizontal="right" vertical="top" shrinkToFit="1"/>
    </xf>
    <xf numFmtId="4" fontId="23" fillId="0" borderId="0" xfId="190" applyNumberFormat="1" applyFont="1" applyFill="1" applyBorder="1" applyAlignment="1">
      <alignment horizontal="right" vertical="top" shrinkToFit="1"/>
    </xf>
    <xf numFmtId="4" fontId="7" fillId="0" borderId="38" xfId="188" applyNumberFormat="1" applyFont="1" applyFill="1" applyBorder="1" applyAlignment="1">
      <alignment horizontal="center" vertical="center"/>
    </xf>
    <xf numFmtId="164" fontId="30" fillId="0" borderId="0" xfId="204" applyFont="1" applyFill="1" applyBorder="1" applyAlignment="1"/>
    <xf numFmtId="164" fontId="20" fillId="0" borderId="38" xfId="204" applyFont="1" applyFill="1" applyBorder="1" applyAlignment="1">
      <alignment horizontal="right" wrapText="1" shrinkToFit="1"/>
    </xf>
    <xf numFmtId="4" fontId="23" fillId="0" borderId="0" xfId="190" applyNumberFormat="1" applyFont="1" applyFill="1" applyBorder="1" applyAlignment="1">
      <alignment horizontal="right" shrinkToFit="1"/>
    </xf>
    <xf numFmtId="164" fontId="24" fillId="0" borderId="0" xfId="204" applyFont="1" applyFill="1" applyBorder="1" applyAlignment="1">
      <alignment horizontal="right" vertical="top" shrinkToFit="1"/>
    </xf>
    <xf numFmtId="164" fontId="21" fillId="0" borderId="33" xfId="204" applyNumberFormat="1" applyFont="1" applyFill="1" applyBorder="1" applyAlignment="1">
      <alignment horizontal="center"/>
    </xf>
    <xf numFmtId="164" fontId="24" fillId="0" borderId="18" xfId="204" applyFont="1" applyFill="1" applyBorder="1" applyAlignment="1">
      <alignment horizontal="center" wrapText="1" shrinkToFit="1"/>
    </xf>
    <xf numFmtId="164" fontId="24" fillId="0" borderId="20" xfId="204" applyFont="1" applyFill="1" applyBorder="1" applyAlignment="1">
      <alignment horizontal="center" wrapText="1" shrinkToFit="1"/>
    </xf>
    <xf numFmtId="164" fontId="24" fillId="0" borderId="27" xfId="204" applyFont="1" applyFill="1" applyBorder="1" applyAlignment="1">
      <alignment horizontal="center" wrapText="1" shrinkToFit="1"/>
    </xf>
    <xf numFmtId="164" fontId="31" fillId="25" borderId="38" xfId="204" applyFont="1" applyFill="1" applyBorder="1" applyAlignment="1">
      <alignment horizontal="center" vertical="center" wrapText="1"/>
    </xf>
    <xf numFmtId="164" fontId="29" fillId="0" borderId="38" xfId="204" applyFont="1" applyBorder="1" applyAlignment="1">
      <alignment horizontal="center" vertical="center" wrapText="1"/>
    </xf>
    <xf numFmtId="164" fontId="29" fillId="0" borderId="38" xfId="204" applyFont="1" applyFill="1" applyBorder="1" applyAlignment="1">
      <alignment vertical="center"/>
    </xf>
    <xf numFmtId="164" fontId="31" fillId="0" borderId="38" xfId="204" applyFont="1" applyBorder="1" applyAlignment="1">
      <alignment vertical="center"/>
    </xf>
    <xf numFmtId="164" fontId="29" fillId="0" borderId="38" xfId="204" applyFont="1" applyBorder="1" applyAlignment="1">
      <alignment vertical="center"/>
    </xf>
    <xf numFmtId="164" fontId="31" fillId="25" borderId="38" xfId="204" applyFont="1" applyFill="1" applyBorder="1" applyAlignment="1">
      <alignment vertical="center"/>
    </xf>
    <xf numFmtId="164" fontId="31" fillId="0" borderId="38" xfId="204" applyFont="1" applyFill="1" applyBorder="1" applyAlignment="1">
      <alignment vertical="center"/>
    </xf>
    <xf numFmtId="165" fontId="31" fillId="0" borderId="0" xfId="204" applyNumberFormat="1" applyFont="1" applyAlignment="1">
      <alignment horizontal="center" vertical="center" wrapText="1"/>
    </xf>
    <xf numFmtId="164" fontId="23" fillId="26" borderId="38" xfId="204" applyFont="1" applyFill="1" applyBorder="1" applyAlignment="1">
      <alignment vertical="center"/>
    </xf>
    <xf numFmtId="164" fontId="24" fillId="0" borderId="38" xfId="204" applyFont="1" applyFill="1" applyBorder="1" applyAlignment="1">
      <alignment vertical="center"/>
    </xf>
    <xf numFmtId="0" fontId="7" fillId="27" borderId="38" xfId="0" applyFont="1" applyFill="1" applyBorder="1" applyAlignment="1">
      <alignment horizontal="center" vertical="center"/>
    </xf>
    <xf numFmtId="164" fontId="20" fillId="27" borderId="40" xfId="204" applyFont="1" applyFill="1" applyBorder="1" applyAlignment="1"/>
    <xf numFmtId="164" fontId="23" fillId="26" borderId="42" xfId="204" applyFont="1" applyFill="1" applyBorder="1" applyAlignment="1">
      <alignment vertical="center"/>
    </xf>
    <xf numFmtId="164" fontId="24" fillId="0" borderId="0" xfId="204" applyFont="1" applyFill="1" applyBorder="1" applyAlignment="1">
      <alignment vertical="center"/>
    </xf>
    <xf numFmtId="0" fontId="23" fillId="27" borderId="15" xfId="0" applyFont="1" applyFill="1" applyBorder="1" applyAlignment="1">
      <alignment horizontal="center" vertical="center"/>
    </xf>
    <xf numFmtId="0" fontId="23" fillId="27" borderId="14" xfId="0" applyFont="1" applyFill="1" applyBorder="1" applyAlignment="1">
      <alignment horizontal="center" vertical="center"/>
    </xf>
    <xf numFmtId="0" fontId="23" fillId="27" borderId="11" xfId="0" applyFont="1" applyFill="1" applyBorder="1" applyAlignment="1">
      <alignment horizontal="center" vertical="center"/>
    </xf>
    <xf numFmtId="0" fontId="8" fillId="27" borderId="11"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2" xfId="0" applyFont="1" applyFill="1" applyBorder="1" applyAlignment="1">
      <alignment horizontal="center" vertical="center" wrapText="1"/>
    </xf>
    <xf numFmtId="0" fontId="8" fillId="27" borderId="43" xfId="0" applyFont="1" applyFill="1" applyBorder="1" applyAlignment="1">
      <alignment horizontal="center" vertical="center" wrapText="1"/>
    </xf>
    <xf numFmtId="164" fontId="9" fillId="27" borderId="18" xfId="204" applyNumberFormat="1" applyFont="1" applyFill="1" applyBorder="1" applyAlignment="1">
      <alignment horizontal="center"/>
    </xf>
    <xf numFmtId="164" fontId="9" fillId="27" borderId="16" xfId="204" applyNumberFormat="1" applyFont="1" applyFill="1" applyBorder="1" applyAlignment="1">
      <alignment horizontal="center"/>
    </xf>
    <xf numFmtId="164" fontId="9" fillId="27" borderId="17" xfId="204" applyNumberFormat="1" applyFont="1" applyFill="1" applyBorder="1" applyAlignment="1">
      <alignment horizontal="center"/>
    </xf>
    <xf numFmtId="164" fontId="9" fillId="27" borderId="19" xfId="204" applyNumberFormat="1" applyFont="1" applyFill="1" applyBorder="1" applyAlignment="1">
      <alignment horizontal="center"/>
    </xf>
    <xf numFmtId="164" fontId="9" fillId="27" borderId="16" xfId="0" applyNumberFormat="1" applyFont="1" applyFill="1" applyBorder="1"/>
    <xf numFmtId="164" fontId="9" fillId="27" borderId="20" xfId="204" applyNumberFormat="1" applyFont="1" applyFill="1" applyBorder="1" applyAlignment="1">
      <alignment horizontal="center"/>
    </xf>
    <xf numFmtId="164" fontId="9" fillId="27" borderId="21" xfId="204" applyNumberFormat="1" applyFont="1" applyFill="1" applyBorder="1" applyAlignment="1">
      <alignment horizontal="center"/>
    </xf>
    <xf numFmtId="164" fontId="9" fillId="27" borderId="22" xfId="204" applyNumberFormat="1" applyFont="1" applyFill="1" applyBorder="1" applyAlignment="1">
      <alignment horizontal="center"/>
    </xf>
    <xf numFmtId="164" fontId="9" fillId="27" borderId="23" xfId="204" applyNumberFormat="1" applyFont="1" applyFill="1" applyBorder="1" applyAlignment="1">
      <alignment horizontal="center"/>
    </xf>
    <xf numFmtId="164" fontId="9" fillId="27" borderId="21" xfId="0" applyNumberFormat="1" applyFont="1" applyFill="1" applyBorder="1"/>
    <xf numFmtId="164" fontId="9" fillId="27" borderId="27" xfId="204" applyNumberFormat="1" applyFont="1" applyFill="1" applyBorder="1" applyAlignment="1">
      <alignment horizontal="center"/>
    </xf>
    <xf numFmtId="164" fontId="9" fillId="27" borderId="25" xfId="204" applyNumberFormat="1" applyFont="1" applyFill="1" applyBorder="1" applyAlignment="1">
      <alignment horizontal="center"/>
    </xf>
    <xf numFmtId="164" fontId="9" fillId="27" borderId="26" xfId="204" applyNumberFormat="1" applyFont="1" applyFill="1" applyBorder="1" applyAlignment="1">
      <alignment horizontal="center"/>
    </xf>
    <xf numFmtId="164" fontId="9" fillId="27" borderId="28" xfId="204" applyNumberFormat="1" applyFont="1" applyFill="1" applyBorder="1" applyAlignment="1">
      <alignment horizontal="center"/>
    </xf>
    <xf numFmtId="164" fontId="9" fillId="27" borderId="25" xfId="0" applyNumberFormat="1" applyFont="1" applyFill="1" applyBorder="1"/>
    <xf numFmtId="164" fontId="8" fillId="27" borderId="14" xfId="204" applyNumberFormat="1" applyFont="1" applyFill="1" applyBorder="1" applyAlignment="1"/>
    <xf numFmtId="164" fontId="8" fillId="27" borderId="30" xfId="204" applyNumberFormat="1" applyFont="1" applyFill="1" applyBorder="1" applyAlignment="1"/>
    <xf numFmtId="164" fontId="8" fillId="27" borderId="29" xfId="204" applyNumberFormat="1" applyFont="1" applyFill="1" applyBorder="1" applyAlignment="1"/>
    <xf numFmtId="164" fontId="8" fillId="27" borderId="44" xfId="204" applyNumberFormat="1" applyFont="1" applyFill="1" applyBorder="1" applyAlignment="1"/>
    <xf numFmtId="165" fontId="8" fillId="27" borderId="33" xfId="204" applyNumberFormat="1" applyFont="1" applyFill="1" applyBorder="1" applyAlignment="1"/>
    <xf numFmtId="165" fontId="8" fillId="27" borderId="0" xfId="204" applyNumberFormat="1" applyFont="1" applyFill="1" applyBorder="1" applyAlignment="1"/>
    <xf numFmtId="165" fontId="8" fillId="27" borderId="31" xfId="204" applyNumberFormat="1" applyFont="1" applyFill="1" applyBorder="1" applyAlignment="1"/>
    <xf numFmtId="0" fontId="8" fillId="27" borderId="31" xfId="0" applyFont="1" applyFill="1" applyBorder="1"/>
    <xf numFmtId="164" fontId="8" fillId="27" borderId="11" xfId="204" applyNumberFormat="1" applyFont="1" applyFill="1" applyBorder="1" applyAlignment="1"/>
    <xf numFmtId="164" fontId="8" fillId="27" borderId="12" xfId="204" applyNumberFormat="1" applyFont="1" applyFill="1" applyBorder="1" applyAlignment="1"/>
    <xf numFmtId="0" fontId="10" fillId="27" borderId="11" xfId="0" applyFont="1" applyFill="1" applyBorder="1"/>
    <xf numFmtId="0" fontId="10" fillId="27" borderId="12" xfId="0" applyFont="1" applyFill="1" applyBorder="1"/>
    <xf numFmtId="0" fontId="8" fillId="27" borderId="11" xfId="0" applyFont="1" applyFill="1" applyBorder="1"/>
    <xf numFmtId="0" fontId="10" fillId="27" borderId="29" xfId="0" applyFont="1" applyFill="1" applyBorder="1"/>
    <xf numFmtId="0" fontId="10" fillId="27" borderId="30" xfId="0" applyFont="1" applyFill="1" applyBorder="1"/>
    <xf numFmtId="0" fontId="8" fillId="27" borderId="29" xfId="0" applyFont="1" applyFill="1" applyBorder="1"/>
    <xf numFmtId="164" fontId="8" fillId="27" borderId="14" xfId="204" applyNumberFormat="1" applyFont="1" applyFill="1" applyBorder="1" applyAlignment="1">
      <alignment horizontal="center"/>
    </xf>
    <xf numFmtId="164" fontId="8" fillId="27" borderId="34" xfId="204" applyNumberFormat="1" applyFont="1" applyFill="1" applyBorder="1" applyAlignment="1">
      <alignment horizontal="center"/>
    </xf>
    <xf numFmtId="0" fontId="8" fillId="27" borderId="14" xfId="0" applyFont="1" applyFill="1" applyBorder="1" applyAlignment="1">
      <alignment horizontal="center" vertical="center" wrapText="1"/>
    </xf>
    <xf numFmtId="164" fontId="23" fillId="27" borderId="33" xfId="204" applyFont="1" applyFill="1" applyBorder="1" applyAlignment="1">
      <alignment horizontal="center" wrapText="1" shrinkToFit="1"/>
    </xf>
    <xf numFmtId="0" fontId="23" fillId="0" borderId="0" xfId="0" applyFont="1" applyFill="1" applyAlignment="1">
      <alignment horizontal="center"/>
    </xf>
    <xf numFmtId="164" fontId="23" fillId="0" borderId="21" xfId="204" applyFont="1" applyFill="1" applyBorder="1" applyAlignment="1">
      <alignment horizontal="center" wrapText="1" shrinkToFit="1"/>
    </xf>
    <xf numFmtId="164" fontId="23" fillId="27" borderId="21" xfId="204" applyFont="1" applyFill="1" applyBorder="1" applyAlignment="1">
      <alignment horizontal="center" wrapText="1" shrinkToFit="1"/>
    </xf>
    <xf numFmtId="164" fontId="24" fillId="25" borderId="21" xfId="204" applyFont="1" applyFill="1" applyBorder="1" applyAlignment="1">
      <alignment horizontal="center"/>
    </xf>
    <xf numFmtId="164" fontId="23" fillId="25" borderId="21" xfId="204" applyFont="1" applyFill="1" applyBorder="1" applyAlignment="1">
      <alignment horizontal="center"/>
    </xf>
    <xf numFmtId="164" fontId="24" fillId="25" borderId="25" xfId="204" applyFont="1" applyFill="1" applyBorder="1" applyAlignment="1">
      <alignment horizontal="center"/>
    </xf>
    <xf numFmtId="164" fontId="23" fillId="0" borderId="29" xfId="204" applyFont="1" applyFill="1" applyBorder="1" applyAlignment="1">
      <alignment horizontal="center"/>
    </xf>
    <xf numFmtId="164" fontId="23" fillId="0" borderId="11" xfId="204" applyFont="1" applyFill="1" applyBorder="1" applyAlignment="1">
      <alignment horizontal="center"/>
    </xf>
    <xf numFmtId="0" fontId="23" fillId="0" borderId="15" xfId="0" applyFont="1" applyFill="1" applyBorder="1" applyAlignment="1">
      <alignment horizontal="left"/>
    </xf>
    <xf numFmtId="0" fontId="23" fillId="0" borderId="20" xfId="0" applyFont="1" applyFill="1" applyBorder="1" applyAlignment="1">
      <alignment horizontal="left"/>
    </xf>
    <xf numFmtId="0" fontId="23" fillId="0" borderId="13" xfId="0" applyFont="1" applyFill="1" applyBorder="1" applyAlignment="1">
      <alignment horizontal="left"/>
    </xf>
    <xf numFmtId="0" fontId="23" fillId="0" borderId="24" xfId="0" applyFont="1" applyFill="1" applyBorder="1" applyAlignment="1">
      <alignment horizontal="left"/>
    </xf>
    <xf numFmtId="0" fontId="23" fillId="0" borderId="14" xfId="0" applyFont="1" applyFill="1" applyBorder="1" applyAlignment="1">
      <alignment horizontal="left"/>
    </xf>
    <xf numFmtId="0" fontId="23" fillId="0" borderId="31" xfId="0" applyFont="1" applyFill="1" applyBorder="1" applyAlignment="1">
      <alignment horizontal="left"/>
    </xf>
    <xf numFmtId="0" fontId="23" fillId="0" borderId="21" xfId="0" applyFont="1" applyFill="1" applyBorder="1" applyAlignment="1">
      <alignment horizontal="left"/>
    </xf>
    <xf numFmtId="0" fontId="23" fillId="0" borderId="11" xfId="0" applyFont="1" applyFill="1" applyBorder="1" applyAlignment="1">
      <alignment horizontal="left"/>
    </xf>
    <xf numFmtId="0" fontId="23" fillId="0" borderId="29" xfId="0" applyFont="1" applyFill="1" applyBorder="1" applyAlignment="1">
      <alignment horizontal="left"/>
    </xf>
    <xf numFmtId="164" fontId="12" fillId="0" borderId="0" xfId="204" applyFont="1"/>
    <xf numFmtId="0" fontId="3" fillId="0" borderId="0" xfId="0" applyFont="1" applyAlignment="1">
      <alignment vertical="center"/>
    </xf>
    <xf numFmtId="164" fontId="12" fillId="0" borderId="38" xfId="204" applyFont="1" applyBorder="1" applyAlignment="1">
      <alignment vertical="center"/>
    </xf>
    <xf numFmtId="0" fontId="7" fillId="25" borderId="38" xfId="0" applyFont="1" applyFill="1" applyBorder="1" applyAlignment="1">
      <alignment horizontal="center" vertical="center" wrapText="1"/>
    </xf>
    <xf numFmtId="164" fontId="11" fillId="0" borderId="0" xfId="0" applyNumberFormat="1" applyFont="1" applyAlignment="1">
      <alignment vertical="center"/>
    </xf>
    <xf numFmtId="164" fontId="7" fillId="25" borderId="38" xfId="204" applyFont="1" applyFill="1" applyBorder="1" applyAlignment="1">
      <alignment vertical="center"/>
    </xf>
    <xf numFmtId="0" fontId="11" fillId="0" borderId="0" xfId="0" applyFont="1" applyAlignment="1">
      <alignment vertical="center"/>
    </xf>
    <xf numFmtId="0" fontId="3" fillId="0" borderId="38" xfId="0" applyFont="1" applyFill="1" applyBorder="1" applyAlignment="1">
      <alignment horizontal="center" vertical="center" wrapText="1"/>
    </xf>
    <xf numFmtId="164" fontId="7" fillId="0" borderId="38" xfId="204" applyFont="1" applyFill="1" applyBorder="1" applyAlignment="1">
      <alignment vertical="center"/>
    </xf>
    <xf numFmtId="164" fontId="24" fillId="0" borderId="0" xfId="204" applyFont="1" applyFill="1" applyAlignment="1">
      <alignment vertical="center"/>
    </xf>
    <xf numFmtId="0" fontId="59" fillId="0" borderId="38" xfId="0" applyFont="1" applyBorder="1" applyAlignment="1">
      <alignment horizontal="center" vertical="center" wrapText="1"/>
    </xf>
    <xf numFmtId="164" fontId="60" fillId="0" borderId="38" xfId="204" applyFont="1" applyBorder="1" applyAlignment="1">
      <alignment vertical="center"/>
    </xf>
    <xf numFmtId="0" fontId="59" fillId="0" borderId="0" xfId="0" applyFont="1" applyAlignment="1">
      <alignment vertical="center"/>
    </xf>
    <xf numFmtId="0" fontId="3" fillId="28" borderId="38" xfId="0" applyFont="1" applyFill="1" applyBorder="1" applyAlignment="1">
      <alignment vertical="center" wrapText="1"/>
    </xf>
    <xf numFmtId="164" fontId="12" fillId="28" borderId="38" xfId="204" applyFont="1" applyFill="1" applyBorder="1" applyAlignment="1">
      <alignment vertical="center"/>
    </xf>
    <xf numFmtId="0" fontId="59" fillId="0" borderId="38" xfId="0" applyFont="1" applyFill="1" applyBorder="1" applyAlignment="1">
      <alignment horizontal="center" vertical="center" wrapText="1"/>
    </xf>
    <xf numFmtId="164" fontId="60" fillId="0" borderId="38" xfId="204" applyFont="1" applyFill="1" applyBorder="1" applyAlignment="1">
      <alignment vertical="center"/>
    </xf>
    <xf numFmtId="0" fontId="59" fillId="0" borderId="0" xfId="0" applyFont="1" applyFill="1" applyAlignment="1">
      <alignment vertical="center"/>
    </xf>
    <xf numFmtId="0" fontId="3" fillId="0" borderId="0" xfId="0" applyFont="1" applyFill="1" applyAlignment="1">
      <alignment vertical="center"/>
    </xf>
    <xf numFmtId="164" fontId="31" fillId="0" borderId="0" xfId="204" applyFont="1" applyBorder="1" applyAlignment="1">
      <alignment horizontal="center" vertical="center"/>
    </xf>
    <xf numFmtId="0" fontId="32" fillId="0" borderId="0" xfId="0" quotePrefix="1" applyFont="1" applyFill="1" applyBorder="1" applyAlignment="1">
      <alignment horizontal="center" vertical="center" wrapText="1"/>
    </xf>
    <xf numFmtId="0" fontId="59"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2" fillId="27" borderId="38" xfId="0" quotePrefix="1" applyFont="1" applyFill="1" applyBorder="1" applyAlignment="1">
      <alignment horizontal="center" vertical="center" wrapText="1"/>
    </xf>
    <xf numFmtId="0" fontId="59" fillId="27" borderId="38" xfId="0" applyFont="1" applyFill="1" applyBorder="1" applyAlignment="1">
      <alignment horizontal="center" vertical="center" wrapText="1"/>
    </xf>
    <xf numFmtId="0" fontId="29" fillId="27" borderId="38" xfId="0" applyFont="1" applyFill="1" applyBorder="1" applyAlignment="1">
      <alignment horizontal="center" vertical="center" wrapText="1"/>
    </xf>
    <xf numFmtId="0" fontId="32" fillId="25" borderId="38" xfId="0" applyFont="1" applyFill="1" applyBorder="1" applyAlignment="1">
      <alignment horizontal="center" vertical="center"/>
    </xf>
    <xf numFmtId="0" fontId="29" fillId="25" borderId="38" xfId="0" applyFont="1" applyFill="1" applyBorder="1" applyAlignment="1">
      <alignment horizontal="center" vertical="center"/>
    </xf>
    <xf numFmtId="164" fontId="31" fillId="25" borderId="38" xfId="204" applyFont="1" applyFill="1" applyBorder="1" applyAlignment="1">
      <alignment horizontal="center" vertical="center"/>
    </xf>
    <xf numFmtId="0" fontId="62" fillId="27" borderId="38" xfId="0" applyFont="1" applyFill="1" applyBorder="1" applyAlignment="1">
      <alignment horizontal="center" vertical="center" wrapText="1"/>
    </xf>
    <xf numFmtId="49" fontId="32" fillId="28" borderId="38" xfId="0" applyNumberFormat="1" applyFont="1" applyFill="1" applyBorder="1" applyAlignment="1">
      <alignment horizontal="center" vertical="center" wrapText="1"/>
    </xf>
    <xf numFmtId="0" fontId="59" fillId="28" borderId="38" xfId="0" applyFont="1" applyFill="1" applyBorder="1" applyAlignment="1">
      <alignment horizontal="center" vertical="center" wrapText="1"/>
    </xf>
    <xf numFmtId="49" fontId="29" fillId="28" borderId="38" xfId="0" quotePrefix="1" applyNumberFormat="1" applyFont="1" applyFill="1" applyBorder="1" applyAlignment="1">
      <alignment horizontal="center" vertical="center" wrapText="1"/>
    </xf>
    <xf numFmtId="164" fontId="63" fillId="28" borderId="38" xfId="204" applyFont="1" applyFill="1" applyBorder="1" applyAlignment="1">
      <alignment vertical="center"/>
    </xf>
    <xf numFmtId="164" fontId="61" fillId="28" borderId="38" xfId="204" applyFont="1" applyFill="1" applyBorder="1" applyAlignment="1">
      <alignment vertical="center"/>
    </xf>
    <xf numFmtId="164" fontId="29" fillId="29" borderId="38" xfId="204" applyFont="1" applyFill="1" applyBorder="1" applyAlignment="1">
      <alignment horizontal="center" vertical="center" wrapText="1"/>
    </xf>
    <xf numFmtId="165" fontId="29" fillId="0" borderId="0" xfId="204" applyNumberFormat="1" applyFont="1" applyAlignment="1">
      <alignment horizontal="center" vertical="center" wrapText="1"/>
    </xf>
    <xf numFmtId="0" fontId="7" fillId="0" borderId="0" xfId="0" applyFont="1" applyAlignment="1">
      <alignment horizontal="center" vertical="center" wrapText="1"/>
    </xf>
    <xf numFmtId="0" fontId="23" fillId="0" borderId="38" xfId="0" applyFont="1" applyFill="1" applyBorder="1" applyAlignment="1">
      <alignment horizontal="center" vertical="center"/>
    </xf>
    <xf numFmtId="0" fontId="23" fillId="0" borderId="0" xfId="0" applyFont="1" applyAlignment="1">
      <alignment horizontal="center" wrapText="1"/>
    </xf>
    <xf numFmtId="0" fontId="23" fillId="0" borderId="0" xfId="0" applyFont="1"/>
    <xf numFmtId="0" fontId="23" fillId="0" borderId="0" xfId="0" applyFont="1" applyBorder="1" applyAlignment="1">
      <alignment vertical="center"/>
    </xf>
    <xf numFmtId="0" fontId="23" fillId="0" borderId="0" xfId="0" applyFont="1" applyBorder="1"/>
    <xf numFmtId="0" fontId="23" fillId="0" borderId="0" xfId="0" applyFont="1" applyAlignment="1">
      <alignment horizontal="left"/>
    </xf>
    <xf numFmtId="0" fontId="23" fillId="0" borderId="0" xfId="0" applyFont="1" applyBorder="1" applyAlignment="1">
      <alignment horizontal="center" vertical="center"/>
    </xf>
    <xf numFmtId="164" fontId="24" fillId="0" borderId="0" xfId="204" applyFont="1"/>
    <xf numFmtId="4" fontId="24" fillId="0" borderId="0" xfId="0" applyNumberFormat="1" applyFont="1" applyBorder="1"/>
    <xf numFmtId="164" fontId="23" fillId="0" borderId="38" xfId="204" applyFont="1" applyFill="1" applyBorder="1"/>
    <xf numFmtId="0" fontId="23" fillId="0" borderId="0" xfId="0" applyFont="1" applyBorder="1" applyAlignment="1">
      <alignment horizontal="center"/>
    </xf>
    <xf numFmtId="4" fontId="23" fillId="0" borderId="0" xfId="193" applyNumberFormat="1" applyFont="1" applyAlignment="1">
      <alignment vertical="top"/>
    </xf>
    <xf numFmtId="0" fontId="23" fillId="0" borderId="38" xfId="0" applyFont="1" applyFill="1" applyBorder="1"/>
    <xf numFmtId="0" fontId="23" fillId="0" borderId="0" xfId="0" applyFont="1" applyFill="1"/>
    <xf numFmtId="49" fontId="23" fillId="0" borderId="0" xfId="0" applyNumberFormat="1" applyFont="1" applyBorder="1" applyAlignment="1">
      <alignment horizontal="left" vertical="top" wrapText="1"/>
    </xf>
    <xf numFmtId="0" fontId="23" fillId="0" borderId="0" xfId="0" quotePrefix="1" applyFont="1" applyAlignment="1">
      <alignment horizontal="center"/>
    </xf>
    <xf numFmtId="164" fontId="24" fillId="0" borderId="38" xfId="204" applyFont="1" applyBorder="1" applyAlignment="1"/>
    <xf numFmtId="0" fontId="23" fillId="0" borderId="38" xfId="0" applyFont="1" applyBorder="1"/>
    <xf numFmtId="0" fontId="23" fillId="0" borderId="0" xfId="0" applyFont="1" applyAlignment="1">
      <alignment vertical="center"/>
    </xf>
    <xf numFmtId="164" fontId="24" fillId="0" borderId="0" xfId="0" applyNumberFormat="1" applyFont="1"/>
    <xf numFmtId="164" fontId="23" fillId="0" borderId="0" xfId="204" applyFont="1" applyAlignment="1"/>
    <xf numFmtId="164" fontId="113" fillId="0" borderId="38" xfId="204" applyFont="1" applyFill="1" applyBorder="1" applyAlignment="1">
      <alignment horizontal="right" wrapText="1" shrinkToFit="1"/>
    </xf>
    <xf numFmtId="0" fontId="20" fillId="0" borderId="0" xfId="0" applyFont="1" applyAlignment="1">
      <alignment horizontal="left"/>
    </xf>
    <xf numFmtId="0" fontId="20" fillId="0" borderId="0" xfId="0" applyFont="1" applyAlignment="1">
      <alignment horizontal="center" wrapText="1"/>
    </xf>
    <xf numFmtId="0" fontId="65" fillId="0" borderId="0" xfId="0" applyFont="1"/>
    <xf numFmtId="164" fontId="20" fillId="0" borderId="0" xfId="204" applyFont="1" applyFill="1" applyAlignment="1"/>
    <xf numFmtId="164" fontId="20" fillId="0" borderId="0" xfId="204" applyFont="1" applyAlignment="1"/>
    <xf numFmtId="164" fontId="30" fillId="0" borderId="38" xfId="204" applyFont="1" applyBorder="1" applyAlignment="1"/>
    <xf numFmtId="164" fontId="20" fillId="0" borderId="38" xfId="204" applyFont="1" applyBorder="1" applyAlignment="1"/>
    <xf numFmtId="164" fontId="20" fillId="0" borderId="0" xfId="204" applyFont="1" applyBorder="1" applyAlignment="1"/>
    <xf numFmtId="164" fontId="30" fillId="0" borderId="0" xfId="0" applyNumberFormat="1" applyFont="1"/>
    <xf numFmtId="0" fontId="20" fillId="0" borderId="0" xfId="0" applyFont="1"/>
    <xf numFmtId="0" fontId="65" fillId="0" borderId="0" xfId="0" applyFont="1" applyFill="1"/>
    <xf numFmtId="0" fontId="20" fillId="0" borderId="38" xfId="0" applyFont="1" applyFill="1" applyBorder="1" applyAlignment="1">
      <alignment horizontal="center" vertical="center"/>
    </xf>
    <xf numFmtId="0" fontId="20" fillId="0" borderId="0" xfId="0" applyFont="1" applyAlignment="1">
      <alignment horizontal="center" vertical="center"/>
    </xf>
    <xf numFmtId="0" fontId="20" fillId="0" borderId="38" xfId="0" applyFont="1" applyFill="1" applyBorder="1"/>
    <xf numFmtId="0" fontId="20" fillId="0" borderId="39" xfId="0" applyFont="1" applyFill="1" applyBorder="1"/>
    <xf numFmtId="164" fontId="20" fillId="0" borderId="38" xfId="204" applyFont="1" applyFill="1" applyBorder="1"/>
    <xf numFmtId="164" fontId="30" fillId="0" borderId="0" xfId="204" applyFont="1"/>
    <xf numFmtId="0" fontId="20" fillId="0" borderId="0" xfId="0" applyFont="1" applyFill="1"/>
    <xf numFmtId="0" fontId="20" fillId="0" borderId="38" xfId="0" applyFont="1" applyBorder="1" applyAlignment="1">
      <alignment wrapText="1"/>
    </xf>
    <xf numFmtId="0" fontId="20" fillId="0" borderId="38" xfId="0" applyFont="1" applyFill="1" applyBorder="1" applyAlignment="1">
      <alignment wrapText="1"/>
    </xf>
    <xf numFmtId="0" fontId="20" fillId="0" borderId="0" xfId="0" applyFont="1" applyBorder="1" applyAlignment="1">
      <alignment wrapText="1"/>
    </xf>
    <xf numFmtId="164" fontId="30" fillId="0" borderId="0" xfId="0" applyNumberFormat="1" applyFont="1" applyFill="1"/>
    <xf numFmtId="0" fontId="20" fillId="0" borderId="38" xfId="0" applyFont="1" applyBorder="1" applyAlignment="1">
      <alignment horizontal="center"/>
    </xf>
    <xf numFmtId="164" fontId="29" fillId="0" borderId="38" xfId="204" applyFont="1" applyBorder="1" applyAlignment="1">
      <alignment horizontal="center" vertical="center"/>
    </xf>
    <xf numFmtId="164" fontId="29" fillId="0" borderId="0" xfId="204" applyFont="1" applyBorder="1" applyAlignment="1">
      <alignment horizontal="center" vertical="center"/>
    </xf>
    <xf numFmtId="164" fontId="31" fillId="0" borderId="40" xfId="204" applyNumberFormat="1" applyFont="1" applyBorder="1" applyAlignment="1">
      <alignment horizontal="center" vertical="center"/>
    </xf>
    <xf numFmtId="0" fontId="29" fillId="0" borderId="38" xfId="0" applyFont="1" applyBorder="1" applyAlignment="1">
      <alignment horizontal="center" vertical="center"/>
    </xf>
    <xf numFmtId="164" fontId="11" fillId="0" borderId="0" xfId="0" applyNumberFormat="1" applyFont="1" applyFill="1"/>
    <xf numFmtId="4" fontId="11" fillId="0" borderId="0" xfId="0" applyNumberFormat="1" applyFont="1" applyFill="1"/>
    <xf numFmtId="164" fontId="12" fillId="0" borderId="38" xfId="204" applyFont="1" applyFill="1" applyBorder="1" applyAlignment="1">
      <alignment vertical="center"/>
    </xf>
    <xf numFmtId="164" fontId="12" fillId="66" borderId="38" xfId="204" applyFont="1" applyFill="1" applyBorder="1" applyAlignment="1">
      <alignment vertical="center"/>
    </xf>
    <xf numFmtId="164" fontId="24" fillId="25" borderId="22" xfId="204" applyFont="1" applyFill="1" applyBorder="1" applyAlignment="1">
      <alignment horizontal="center"/>
    </xf>
    <xf numFmtId="164" fontId="23" fillId="0" borderId="14" xfId="204" applyFont="1" applyFill="1" applyBorder="1" applyAlignment="1">
      <alignment horizontal="center"/>
    </xf>
    <xf numFmtId="0" fontId="23" fillId="27" borderId="29" xfId="0" applyFont="1" applyFill="1" applyBorder="1" applyAlignment="1">
      <alignment horizontal="center" vertical="center"/>
    </xf>
    <xf numFmtId="164" fontId="114" fillId="0" borderId="0" xfId="0" applyNumberFormat="1" applyFont="1" applyFill="1" applyAlignment="1">
      <alignment vertical="center"/>
    </xf>
    <xf numFmtId="164" fontId="116" fillId="0" borderId="38" xfId="204" applyFont="1" applyFill="1" applyBorder="1" applyAlignment="1">
      <alignment horizontal="center" vertical="center" wrapText="1"/>
    </xf>
    <xf numFmtId="3" fontId="23" fillId="25" borderId="14" xfId="0" applyNumberFormat="1" applyFont="1" applyFill="1" applyBorder="1" applyAlignment="1">
      <alignment horizontal="center" vertical="center"/>
    </xf>
    <xf numFmtId="164" fontId="31" fillId="0" borderId="40" xfId="204" applyNumberFormat="1" applyFont="1" applyFill="1" applyBorder="1" applyAlignment="1">
      <alignment vertical="center" wrapText="1"/>
    </xf>
    <xf numFmtId="0" fontId="7" fillId="0" borderId="38" xfId="0" quotePrefix="1" applyFont="1" applyFill="1" applyBorder="1" applyAlignment="1">
      <alignment horizontal="center" vertical="center" wrapText="1"/>
    </xf>
    <xf numFmtId="164" fontId="61" fillId="68" borderId="38" xfId="204" applyFont="1" applyFill="1" applyBorder="1" applyAlignment="1">
      <alignment horizontal="center" vertical="center"/>
    </xf>
    <xf numFmtId="164" fontId="31" fillId="0" borderId="38" xfId="204" applyFont="1" applyBorder="1" applyAlignment="1">
      <alignment horizontal="center" vertical="center"/>
    </xf>
    <xf numFmtId="164" fontId="117" fillId="28" borderId="38" xfId="204" applyFont="1" applyFill="1" applyBorder="1" applyAlignment="1">
      <alignment vertical="center"/>
    </xf>
    <xf numFmtId="164" fontId="24" fillId="0" borderId="16" xfId="204" applyFont="1" applyFill="1" applyBorder="1" applyAlignment="1">
      <alignment horizontal="center" wrapText="1" shrinkToFit="1"/>
    </xf>
    <xf numFmtId="164" fontId="24" fillId="0" borderId="25" xfId="204" applyFont="1" applyFill="1" applyBorder="1" applyAlignment="1">
      <alignment horizontal="center" wrapText="1" shrinkToFit="1"/>
    </xf>
    <xf numFmtId="164" fontId="17" fillId="0" borderId="46" xfId="204" applyNumberFormat="1" applyFont="1" applyFill="1" applyBorder="1" applyAlignment="1"/>
    <xf numFmtId="164" fontId="23" fillId="0" borderId="19" xfId="204" applyNumberFormat="1" applyFont="1" applyFill="1" applyBorder="1" applyAlignment="1"/>
    <xf numFmtId="164" fontId="24" fillId="0" borderId="23" xfId="204" applyFont="1" applyFill="1" applyBorder="1" applyAlignment="1">
      <alignment horizontal="center" wrapText="1" shrinkToFit="1"/>
    </xf>
    <xf numFmtId="0" fontId="23" fillId="0" borderId="42" xfId="0" applyFont="1" applyFill="1" applyBorder="1" applyAlignment="1">
      <alignment horizontal="center" vertical="center"/>
    </xf>
    <xf numFmtId="0" fontId="67" fillId="0" borderId="0" xfId="0" applyFont="1" applyAlignment="1">
      <alignment horizontal="left"/>
    </xf>
    <xf numFmtId="164" fontId="24" fillId="25" borderId="20" xfId="204" applyFont="1" applyFill="1" applyBorder="1" applyAlignment="1">
      <alignment horizontal="center"/>
    </xf>
    <xf numFmtId="164" fontId="24" fillId="25" borderId="27" xfId="204" applyFont="1" applyFill="1" applyBorder="1" applyAlignment="1">
      <alignment horizontal="center"/>
    </xf>
    <xf numFmtId="164" fontId="24" fillId="0" borderId="33" xfId="204" applyFont="1" applyFill="1" applyBorder="1" applyAlignment="1">
      <alignment horizontal="center"/>
    </xf>
    <xf numFmtId="164" fontId="23" fillId="25" borderId="14" xfId="204" applyFont="1" applyFill="1" applyBorder="1" applyAlignment="1">
      <alignment horizontal="center"/>
    </xf>
    <xf numFmtId="164" fontId="23" fillId="0" borderId="33" xfId="204" applyFont="1" applyFill="1" applyBorder="1" applyAlignment="1">
      <alignment horizontal="center"/>
    </xf>
    <xf numFmtId="164" fontId="23" fillId="25" borderId="31" xfId="204" applyFont="1" applyFill="1" applyBorder="1" applyAlignment="1">
      <alignment horizontal="center"/>
    </xf>
    <xf numFmtId="164" fontId="23" fillId="25" borderId="11" xfId="204" applyFont="1" applyFill="1" applyBorder="1" applyAlignment="1">
      <alignment horizontal="center"/>
    </xf>
    <xf numFmtId="164" fontId="23" fillId="0" borderId="31" xfId="204" applyFont="1" applyFill="1" applyBorder="1" applyAlignment="1">
      <alignment horizontal="center"/>
    </xf>
    <xf numFmtId="164" fontId="23" fillId="25" borderId="29" xfId="204" applyFont="1" applyFill="1" applyBorder="1" applyAlignment="1">
      <alignment horizontal="center"/>
    </xf>
    <xf numFmtId="164" fontId="23" fillId="0" borderId="36" xfId="204" applyFont="1" applyFill="1" applyBorder="1" applyAlignment="1">
      <alignment horizontal="center"/>
    </xf>
    <xf numFmtId="164" fontId="23" fillId="25" borderId="20" xfId="204" applyFont="1" applyFill="1" applyBorder="1" applyAlignment="1">
      <alignment horizontal="center"/>
    </xf>
    <xf numFmtId="0" fontId="32" fillId="0" borderId="38" xfId="0" applyNumberFormat="1" applyFont="1" applyFill="1" applyBorder="1" applyAlignment="1">
      <alignment horizontal="left" vertical="center" wrapText="1"/>
    </xf>
    <xf numFmtId="0" fontId="32" fillId="0" borderId="38" xfId="0" applyNumberFormat="1" applyFont="1" applyBorder="1" applyAlignment="1">
      <alignment horizontal="center" vertical="center" wrapText="1"/>
    </xf>
    <xf numFmtId="0" fontId="32" fillId="0" borderId="38" xfId="0" applyNumberFormat="1" applyFont="1" applyFill="1" applyBorder="1" applyAlignment="1">
      <alignment vertical="center" wrapText="1"/>
    </xf>
    <xf numFmtId="0" fontId="3" fillId="0" borderId="38" xfId="0" applyFont="1" applyFill="1" applyBorder="1" applyAlignment="1">
      <alignment horizontal="left" vertical="center" wrapText="1"/>
    </xf>
    <xf numFmtId="0" fontId="32" fillId="0" borderId="38" xfId="0" applyNumberFormat="1" applyFont="1" applyBorder="1" applyAlignment="1">
      <alignment vertical="center" wrapText="1"/>
    </xf>
    <xf numFmtId="0" fontId="3" fillId="0" borderId="38" xfId="0" applyNumberFormat="1" applyFont="1" applyFill="1" applyBorder="1" applyAlignment="1">
      <alignment horizontal="left" vertical="center" wrapText="1"/>
    </xf>
    <xf numFmtId="0" fontId="32" fillId="0" borderId="38" xfId="0" applyFont="1" applyFill="1" applyBorder="1" applyAlignment="1">
      <alignment horizontal="left" vertical="center" wrapText="1"/>
    </xf>
    <xf numFmtId="0" fontId="32" fillId="0" borderId="38" xfId="0" applyFont="1" applyFill="1" applyBorder="1" applyAlignment="1">
      <alignment vertical="center" wrapText="1"/>
    </xf>
    <xf numFmtId="164" fontId="61" fillId="0" borderId="38" xfId="204" applyFont="1" applyFill="1" applyBorder="1" applyAlignment="1">
      <alignment vertical="center"/>
    </xf>
    <xf numFmtId="165" fontId="31" fillId="0" borderId="0" xfId="204" applyNumberFormat="1" applyFont="1" applyFill="1" applyAlignment="1">
      <alignment horizontal="center" vertical="center" wrapText="1"/>
    </xf>
    <xf numFmtId="4" fontId="22" fillId="0" borderId="0" xfId="183" applyNumberFormat="1" applyFont="1" applyFill="1" applyBorder="1" applyAlignment="1">
      <alignment horizontal="right" vertical="top" shrinkToFit="1"/>
    </xf>
    <xf numFmtId="164" fontId="21" fillId="0" borderId="28" xfId="204" applyNumberFormat="1" applyFont="1" applyFill="1" applyBorder="1" applyAlignment="1">
      <alignment horizontal="center"/>
    </xf>
    <xf numFmtId="164" fontId="114" fillId="25" borderId="21" xfId="204" applyFont="1" applyFill="1" applyBorder="1" applyAlignment="1">
      <alignment horizontal="center"/>
    </xf>
    <xf numFmtId="164" fontId="114" fillId="0" borderId="0" xfId="0" applyNumberFormat="1" applyFont="1" applyFill="1" applyBorder="1" applyAlignment="1">
      <alignment vertical="center"/>
    </xf>
    <xf numFmtId="0" fontId="7" fillId="0" borderId="0" xfId="0" applyFont="1" applyFill="1" applyAlignment="1">
      <alignment horizontal="center" vertical="center"/>
    </xf>
    <xf numFmtId="0" fontId="7" fillId="0" borderId="0" xfId="0" applyFont="1" applyAlignment="1">
      <alignment vertical="center"/>
    </xf>
    <xf numFmtId="166" fontId="27" fillId="0" borderId="38" xfId="204" applyNumberFormat="1" applyFont="1" applyFill="1" applyBorder="1" applyAlignment="1">
      <alignment vertical="center"/>
    </xf>
    <xf numFmtId="166" fontId="27" fillId="25" borderId="38" xfId="204" applyNumberFormat="1" applyFont="1" applyFill="1" applyBorder="1" applyAlignment="1">
      <alignment vertical="center"/>
    </xf>
    <xf numFmtId="166" fontId="27" fillId="0" borderId="38" xfId="0" applyNumberFormat="1" applyFont="1" applyBorder="1" applyAlignment="1">
      <alignment vertical="center"/>
    </xf>
    <xf numFmtId="0" fontId="59" fillId="66" borderId="38" xfId="0" applyFont="1" applyFill="1" applyBorder="1" applyAlignment="1">
      <alignment horizontal="center" vertical="center" wrapText="1"/>
    </xf>
    <xf numFmtId="164" fontId="30" fillId="68" borderId="38" xfId="204" applyFont="1" applyFill="1" applyBorder="1" applyAlignment="1"/>
    <xf numFmtId="164" fontId="116" fillId="0" borderId="38" xfId="204" applyFont="1" applyFill="1" applyBorder="1" applyAlignment="1">
      <alignment vertical="center"/>
    </xf>
    <xf numFmtId="164" fontId="24" fillId="0" borderId="18" xfId="204" applyFont="1" applyFill="1" applyBorder="1" applyAlignment="1">
      <alignment horizontal="center"/>
    </xf>
    <xf numFmtId="164" fontId="24" fillId="0" borderId="37" xfId="204" applyFont="1" applyFill="1" applyBorder="1" applyAlignment="1">
      <alignment horizontal="center"/>
    </xf>
    <xf numFmtId="4" fontId="20" fillId="0" borderId="0" xfId="191" applyNumberFormat="1" applyFont="1" applyBorder="1" applyAlignment="1">
      <alignment horizontal="right" shrinkToFit="1"/>
    </xf>
    <xf numFmtId="4" fontId="20" fillId="0" borderId="0" xfId="191" applyNumberFormat="1" applyFont="1" applyFill="1" applyBorder="1" applyAlignment="1">
      <alignment horizontal="right" shrinkToFit="1"/>
    </xf>
    <xf numFmtId="164" fontId="20" fillId="0" borderId="0" xfId="204" applyFont="1" applyBorder="1" applyAlignment="1">
      <alignment horizontal="right" wrapText="1" shrinkToFit="1"/>
    </xf>
    <xf numFmtId="164" fontId="30" fillId="0" borderId="0" xfId="204" applyFont="1" applyBorder="1" applyAlignment="1"/>
    <xf numFmtId="164" fontId="24" fillId="0" borderId="16" xfId="204" applyFont="1" applyFill="1" applyBorder="1" applyAlignment="1">
      <alignment horizontal="center"/>
    </xf>
    <xf numFmtId="0" fontId="56" fillId="0" borderId="0" xfId="0" applyFont="1" applyFill="1" applyAlignment="1"/>
    <xf numFmtId="164" fontId="61" fillId="68" borderId="38" xfId="204" applyFont="1" applyFill="1" applyBorder="1" applyAlignment="1">
      <alignment vertical="center"/>
    </xf>
    <xf numFmtId="164" fontId="24" fillId="67" borderId="22" xfId="204" applyFont="1" applyFill="1" applyBorder="1" applyAlignment="1">
      <alignment horizontal="center"/>
    </xf>
    <xf numFmtId="164" fontId="24" fillId="67" borderId="26" xfId="204" applyFont="1" applyFill="1" applyBorder="1" applyAlignment="1">
      <alignment horizontal="center"/>
    </xf>
    <xf numFmtId="164" fontId="24" fillId="67" borderId="21" xfId="204" applyFont="1" applyFill="1" applyBorder="1" applyAlignment="1">
      <alignment horizontal="center"/>
    </xf>
    <xf numFmtId="164" fontId="24" fillId="67" borderId="25" xfId="204" applyFont="1" applyFill="1" applyBorder="1" applyAlignment="1">
      <alignment horizontal="center"/>
    </xf>
    <xf numFmtId="164" fontId="23" fillId="0" borderId="44" xfId="204" applyFont="1" applyFill="1" applyBorder="1" applyAlignment="1">
      <alignment horizontal="center"/>
    </xf>
    <xf numFmtId="164" fontId="23" fillId="0" borderId="43" xfId="204" applyFont="1" applyFill="1" applyBorder="1" applyAlignment="1">
      <alignment horizontal="center"/>
    </xf>
    <xf numFmtId="164" fontId="23" fillId="0" borderId="30" xfId="204" applyFont="1" applyFill="1" applyBorder="1" applyAlignment="1">
      <alignment horizontal="center"/>
    </xf>
    <xf numFmtId="164" fontId="23" fillId="0" borderId="12" xfId="204" applyFont="1" applyFill="1" applyBorder="1" applyAlignment="1">
      <alignment horizontal="center"/>
    </xf>
    <xf numFmtId="164" fontId="24" fillId="0" borderId="17" xfId="204" applyFont="1" applyFill="1" applyBorder="1" applyAlignment="1">
      <alignment horizontal="center"/>
    </xf>
    <xf numFmtId="164" fontId="23" fillId="25" borderId="37" xfId="204" applyFont="1" applyFill="1" applyBorder="1" applyAlignment="1">
      <alignment horizontal="center"/>
    </xf>
    <xf numFmtId="164" fontId="24" fillId="67" borderId="37" xfId="204" applyFont="1" applyFill="1" applyBorder="1" applyAlignment="1">
      <alignment horizontal="center"/>
    </xf>
    <xf numFmtId="164" fontId="24" fillId="27" borderId="33" xfId="204" applyFont="1" applyFill="1" applyBorder="1" applyAlignment="1">
      <alignment horizontal="center"/>
    </xf>
    <xf numFmtId="164" fontId="24" fillId="67" borderId="33" xfId="204" applyFont="1" applyFill="1" applyBorder="1" applyAlignment="1">
      <alignment horizontal="center"/>
    </xf>
    <xf numFmtId="164" fontId="23" fillId="67" borderId="16" xfId="204" applyFont="1" applyFill="1" applyBorder="1" applyAlignment="1">
      <alignment horizontal="center"/>
    </xf>
    <xf numFmtId="164" fontId="24" fillId="0" borderId="23" xfId="204" applyFont="1" applyFill="1" applyBorder="1" applyAlignment="1">
      <alignment horizontal="center"/>
    </xf>
    <xf numFmtId="164" fontId="24" fillId="0" borderId="21" xfId="204" applyFont="1" applyFill="1" applyBorder="1" applyAlignment="1">
      <alignment horizontal="center"/>
    </xf>
    <xf numFmtId="164" fontId="23" fillId="0" borderId="18" xfId="204" applyFont="1" applyFill="1" applyBorder="1" applyAlignment="1">
      <alignment horizontal="center"/>
    </xf>
    <xf numFmtId="164" fontId="23" fillId="27" borderId="21" xfId="204" applyFont="1" applyFill="1" applyBorder="1" applyAlignment="1">
      <alignment horizontal="center"/>
    </xf>
    <xf numFmtId="164" fontId="24" fillId="0" borderId="22" xfId="204" applyFont="1" applyFill="1" applyBorder="1" applyAlignment="1">
      <alignment horizontal="center"/>
    </xf>
    <xf numFmtId="164" fontId="24" fillId="67" borderId="20" xfId="204" applyFont="1" applyFill="1" applyBorder="1" applyAlignment="1">
      <alignment horizontal="center"/>
    </xf>
    <xf numFmtId="164" fontId="24" fillId="0" borderId="20" xfId="204" applyFont="1" applyFill="1" applyBorder="1" applyAlignment="1">
      <alignment horizontal="center"/>
    </xf>
    <xf numFmtId="164" fontId="24" fillId="27" borderId="22" xfId="204" applyFont="1" applyFill="1" applyBorder="1" applyAlignment="1">
      <alignment horizontal="center"/>
    </xf>
    <xf numFmtId="164" fontId="24" fillId="27" borderId="21" xfId="204" applyFont="1" applyFill="1" applyBorder="1" applyAlignment="1">
      <alignment horizontal="center"/>
    </xf>
    <xf numFmtId="164" fontId="23" fillId="0" borderId="21" xfId="204" applyFont="1" applyFill="1" applyBorder="1" applyAlignment="1">
      <alignment horizontal="center"/>
    </xf>
    <xf numFmtId="164" fontId="24" fillId="27" borderId="20" xfId="204" applyFont="1" applyFill="1" applyBorder="1" applyAlignment="1">
      <alignment horizontal="center"/>
    </xf>
    <xf numFmtId="164" fontId="23" fillId="67" borderId="21" xfId="204" applyFont="1" applyFill="1" applyBorder="1" applyAlignment="1">
      <alignment horizontal="center"/>
    </xf>
    <xf numFmtId="164" fontId="23" fillId="67" borderId="22" xfId="204" applyFont="1" applyFill="1" applyBorder="1" applyAlignment="1">
      <alignment horizontal="center"/>
    </xf>
    <xf numFmtId="164" fontId="23" fillId="0" borderId="20" xfId="204" applyFont="1" applyFill="1" applyBorder="1" applyAlignment="1">
      <alignment horizontal="center"/>
    </xf>
    <xf numFmtId="164" fontId="23" fillId="27" borderId="23" xfId="204" applyFont="1" applyFill="1" applyBorder="1" applyAlignment="1">
      <alignment horizontal="center"/>
    </xf>
    <xf numFmtId="164" fontId="24" fillId="0" borderId="26" xfId="204" applyFont="1" applyFill="1" applyBorder="1" applyAlignment="1">
      <alignment horizontal="center"/>
    </xf>
    <xf numFmtId="164" fontId="24" fillId="0" borderId="25" xfId="204" applyFont="1" applyFill="1" applyBorder="1" applyAlignment="1">
      <alignment horizontal="center"/>
    </xf>
    <xf numFmtId="164" fontId="24" fillId="0" borderId="27" xfId="204" applyFont="1" applyFill="1" applyBorder="1" applyAlignment="1">
      <alignment horizontal="center"/>
    </xf>
    <xf numFmtId="164" fontId="24" fillId="27" borderId="26" xfId="204" applyFont="1" applyFill="1" applyBorder="1" applyAlignment="1">
      <alignment horizontal="center"/>
    </xf>
    <xf numFmtId="164" fontId="24" fillId="27" borderId="25" xfId="204" applyFont="1" applyFill="1" applyBorder="1" applyAlignment="1">
      <alignment horizontal="center"/>
    </xf>
    <xf numFmtId="164" fontId="24" fillId="27" borderId="27" xfId="204" applyFont="1" applyFill="1" applyBorder="1" applyAlignment="1">
      <alignment horizontal="center"/>
    </xf>
    <xf numFmtId="164" fontId="23" fillId="27" borderId="25" xfId="204" applyFont="1" applyFill="1" applyBorder="1" applyAlignment="1">
      <alignment horizontal="center"/>
    </xf>
    <xf numFmtId="164" fontId="23" fillId="67" borderId="25" xfId="204" applyFont="1" applyFill="1" applyBorder="1" applyAlignment="1">
      <alignment horizontal="center"/>
    </xf>
    <xf numFmtId="164" fontId="23" fillId="67" borderId="26" xfId="204" applyFont="1" applyFill="1" applyBorder="1" applyAlignment="1">
      <alignment horizontal="center"/>
    </xf>
    <xf numFmtId="164" fontId="23" fillId="0" borderId="27" xfId="204" applyFont="1" applyFill="1" applyBorder="1" applyAlignment="1">
      <alignment horizontal="center"/>
    </xf>
    <xf numFmtId="164" fontId="23" fillId="27" borderId="28" xfId="204" applyFont="1" applyFill="1" applyBorder="1" applyAlignment="1">
      <alignment horizontal="center"/>
    </xf>
    <xf numFmtId="164" fontId="23" fillId="0" borderId="24" xfId="204" applyFont="1" applyFill="1" applyBorder="1" applyAlignment="1"/>
    <xf numFmtId="164" fontId="23" fillId="0" borderId="29" xfId="204" applyFont="1" applyFill="1" applyBorder="1" applyAlignment="1"/>
    <xf numFmtId="164" fontId="23" fillId="0" borderId="31" xfId="204" applyFont="1" applyFill="1" applyBorder="1" applyAlignment="1"/>
    <xf numFmtId="164" fontId="23" fillId="0" borderId="13" xfId="204" applyFont="1" applyFill="1" applyBorder="1" applyAlignment="1"/>
    <xf numFmtId="164" fontId="23" fillId="27" borderId="29" xfId="204" applyFont="1" applyFill="1" applyBorder="1" applyAlignment="1"/>
    <xf numFmtId="164" fontId="23" fillId="0" borderId="14" xfId="204" applyFont="1" applyFill="1" applyBorder="1" applyAlignment="1"/>
    <xf numFmtId="164" fontId="23" fillId="67" borderId="14" xfId="204" applyFont="1" applyFill="1" applyBorder="1" applyAlignment="1"/>
    <xf numFmtId="164" fontId="23" fillId="67" borderId="29" xfId="204" applyFont="1" applyFill="1" applyBorder="1" applyAlignment="1"/>
    <xf numFmtId="164" fontId="23" fillId="67" borderId="31" xfId="204" applyFont="1" applyFill="1" applyBorder="1" applyAlignment="1"/>
    <xf numFmtId="164" fontId="23" fillId="0" borderId="36" xfId="204" applyFont="1" applyFill="1" applyBorder="1" applyAlignment="1"/>
    <xf numFmtId="164" fontId="23" fillId="27" borderId="13" xfId="204" applyFont="1" applyFill="1" applyBorder="1" applyAlignment="1"/>
    <xf numFmtId="164" fontId="23" fillId="27" borderId="31" xfId="204" applyFont="1" applyFill="1" applyBorder="1" applyAlignment="1"/>
    <xf numFmtId="164" fontId="23" fillId="0" borderId="16" xfId="204" applyFont="1" applyFill="1" applyBorder="1" applyAlignment="1"/>
    <xf numFmtId="164" fontId="23" fillId="0" borderId="33" xfId="204" applyFont="1" applyFill="1" applyBorder="1" applyAlignment="1"/>
    <xf numFmtId="164" fontId="23" fillId="27" borderId="33" xfId="204" applyFont="1" applyFill="1" applyBorder="1" applyAlignment="1"/>
    <xf numFmtId="164" fontId="23" fillId="67" borderId="33" xfId="204" applyFont="1" applyFill="1" applyBorder="1" applyAlignment="1"/>
    <xf numFmtId="164" fontId="24" fillId="67" borderId="32" xfId="204" applyFont="1" applyFill="1" applyBorder="1" applyAlignment="1">
      <alignment horizontal="center"/>
    </xf>
    <xf numFmtId="164" fontId="23" fillId="0" borderId="37" xfId="204" applyFont="1" applyFill="1" applyBorder="1" applyAlignment="1"/>
    <xf numFmtId="164" fontId="23" fillId="27" borderId="16" xfId="204" applyFont="1" applyFill="1" applyBorder="1" applyAlignment="1"/>
    <xf numFmtId="164" fontId="23" fillId="0" borderId="15" xfId="204" applyFont="1" applyFill="1" applyBorder="1" applyAlignment="1"/>
    <xf numFmtId="164" fontId="23" fillId="67" borderId="11" xfId="204" applyFont="1" applyFill="1" applyBorder="1" applyAlignment="1"/>
    <xf numFmtId="164" fontId="23" fillId="0" borderId="11" xfId="204" applyFont="1" applyFill="1" applyBorder="1" applyAlignment="1"/>
    <xf numFmtId="164" fontId="23" fillId="27" borderId="11" xfId="204" applyFont="1" applyFill="1" applyBorder="1" applyAlignment="1"/>
    <xf numFmtId="164" fontId="23" fillId="0" borderId="15" xfId="204" applyFont="1" applyFill="1" applyBorder="1" applyAlignment="1">
      <alignment horizontal="center"/>
    </xf>
    <xf numFmtId="164" fontId="23" fillId="0" borderId="24" xfId="204" applyFont="1" applyFill="1" applyBorder="1" applyAlignment="1">
      <alignment horizontal="center"/>
    </xf>
    <xf numFmtId="164" fontId="23" fillId="25" borderId="24" xfId="204" applyFont="1" applyFill="1" applyBorder="1" applyAlignment="1">
      <alignment horizontal="center"/>
    </xf>
    <xf numFmtId="164" fontId="23" fillId="25" borderId="30" xfId="204" applyFont="1" applyFill="1" applyBorder="1" applyAlignment="1">
      <alignment horizontal="center"/>
    </xf>
    <xf numFmtId="164" fontId="23" fillId="27" borderId="29" xfId="204" applyFont="1" applyFill="1" applyBorder="1" applyAlignment="1">
      <alignment horizontal="center"/>
    </xf>
    <xf numFmtId="164" fontId="23" fillId="27" borderId="14" xfId="204" applyFont="1" applyFill="1" applyBorder="1" applyAlignment="1">
      <alignment horizontal="center"/>
    </xf>
    <xf numFmtId="164" fontId="23" fillId="27" borderId="24" xfId="204" applyFont="1" applyFill="1" applyBorder="1" applyAlignment="1">
      <alignment horizontal="center"/>
    </xf>
    <xf numFmtId="164" fontId="23" fillId="67" borderId="29" xfId="204" applyFont="1" applyFill="1" applyBorder="1" applyAlignment="1">
      <alignment horizontal="center"/>
    </xf>
    <xf numFmtId="164" fontId="23" fillId="67" borderId="44" xfId="204" applyFont="1" applyFill="1" applyBorder="1" applyAlignment="1">
      <alignment horizontal="center"/>
    </xf>
    <xf numFmtId="164" fontId="23" fillId="67" borderId="24" xfId="204" applyFont="1" applyFill="1" applyBorder="1" applyAlignment="1">
      <alignment horizontal="center"/>
    </xf>
    <xf numFmtId="164" fontId="24" fillId="0" borderId="32" xfId="204" applyFont="1" applyFill="1" applyBorder="1" applyAlignment="1">
      <alignment horizontal="center"/>
    </xf>
    <xf numFmtId="164" fontId="114" fillId="25" borderId="33" xfId="204" applyFont="1" applyFill="1" applyBorder="1" applyAlignment="1">
      <alignment horizontal="center"/>
    </xf>
    <xf numFmtId="164" fontId="24" fillId="0" borderId="21" xfId="204" applyFont="1" applyFill="1" applyBorder="1" applyAlignment="1">
      <alignment horizontal="center" wrapText="1"/>
    </xf>
    <xf numFmtId="164" fontId="24" fillId="27" borderId="21" xfId="204" applyFont="1" applyFill="1" applyBorder="1" applyAlignment="1">
      <alignment horizontal="center" wrapText="1"/>
    </xf>
    <xf numFmtId="164" fontId="24" fillId="27" borderId="20" xfId="204" applyFont="1" applyFill="1" applyBorder="1" applyAlignment="1">
      <alignment horizontal="center" wrapText="1"/>
    </xf>
    <xf numFmtId="164" fontId="23" fillId="25" borderId="21" xfId="204" applyFont="1" applyFill="1" applyBorder="1" applyAlignment="1">
      <alignment horizontal="center" wrapText="1" shrinkToFit="1"/>
    </xf>
    <xf numFmtId="164" fontId="23" fillId="25" borderId="22" xfId="204" applyFont="1" applyFill="1" applyBorder="1" applyAlignment="1">
      <alignment horizontal="center" wrapText="1" shrinkToFit="1"/>
    </xf>
    <xf numFmtId="164" fontId="23" fillId="25" borderId="20" xfId="204" applyFont="1" applyFill="1" applyBorder="1" applyAlignment="1">
      <alignment horizontal="center" wrapText="1" shrinkToFit="1"/>
    </xf>
    <xf numFmtId="164" fontId="24" fillId="68" borderId="21" xfId="204" applyFont="1" applyFill="1" applyBorder="1" applyAlignment="1">
      <alignment horizontal="center"/>
    </xf>
    <xf numFmtId="164" fontId="24" fillId="27" borderId="22" xfId="204" applyFont="1" applyFill="1" applyBorder="1" applyAlignment="1">
      <alignment horizontal="center" wrapText="1"/>
    </xf>
    <xf numFmtId="164" fontId="23" fillId="0" borderId="13" xfId="204" applyFont="1" applyFill="1" applyBorder="1" applyAlignment="1">
      <alignment horizontal="center"/>
    </xf>
    <xf numFmtId="164" fontId="23" fillId="27" borderId="14" xfId="204" applyFont="1" applyFill="1" applyBorder="1" applyAlignment="1">
      <alignment horizontal="center" wrapText="1"/>
    </xf>
    <xf numFmtId="164" fontId="23" fillId="27" borderId="30" xfId="204" applyFont="1" applyFill="1" applyBorder="1" applyAlignment="1">
      <alignment horizontal="center"/>
    </xf>
    <xf numFmtId="164" fontId="23" fillId="27" borderId="31" xfId="204" applyFont="1" applyFill="1" applyBorder="1" applyAlignment="1">
      <alignment horizontal="center"/>
    </xf>
    <xf numFmtId="164" fontId="23" fillId="25" borderId="13" xfId="204" applyFont="1" applyFill="1" applyBorder="1" applyAlignment="1">
      <alignment horizontal="center"/>
    </xf>
    <xf numFmtId="164" fontId="23" fillId="68" borderId="29" xfId="204" applyFont="1" applyFill="1" applyBorder="1" applyAlignment="1">
      <alignment horizontal="center"/>
    </xf>
    <xf numFmtId="164" fontId="23" fillId="68" borderId="14" xfId="204" applyFont="1" applyFill="1" applyBorder="1" applyAlignment="1">
      <alignment horizontal="center"/>
    </xf>
    <xf numFmtId="164" fontId="23" fillId="0" borderId="0" xfId="204" applyFont="1" applyFill="1" applyBorder="1" applyAlignment="1">
      <alignment horizontal="center"/>
    </xf>
    <xf numFmtId="164" fontId="23" fillId="25" borderId="36" xfId="204" applyFont="1" applyFill="1" applyBorder="1" applyAlignment="1">
      <alignment horizontal="center"/>
    </xf>
    <xf numFmtId="164" fontId="23" fillId="0" borderId="37" xfId="204" applyFont="1" applyFill="1" applyBorder="1" applyAlignment="1">
      <alignment horizontal="center"/>
    </xf>
    <xf numFmtId="164" fontId="23" fillId="68" borderId="33" xfId="204" applyFont="1" applyFill="1" applyBorder="1" applyAlignment="1">
      <alignment horizontal="center"/>
    </xf>
    <xf numFmtId="164" fontId="23" fillId="25" borderId="0" xfId="204" applyFont="1" applyFill="1" applyBorder="1" applyAlignment="1">
      <alignment horizontal="center"/>
    </xf>
    <xf numFmtId="164" fontId="24" fillId="27" borderId="23" xfId="204" applyFont="1" applyFill="1" applyBorder="1" applyAlignment="1">
      <alignment horizontal="center" wrapText="1"/>
    </xf>
    <xf numFmtId="164" fontId="23" fillId="27" borderId="21" xfId="204" applyFont="1" applyFill="1" applyBorder="1" applyAlignment="1">
      <alignment horizontal="center" wrapText="1"/>
    </xf>
    <xf numFmtId="164" fontId="23" fillId="27" borderId="11" xfId="204" applyFont="1" applyFill="1" applyBorder="1" applyAlignment="1">
      <alignment horizontal="center"/>
    </xf>
    <xf numFmtId="164" fontId="23" fillId="68" borderId="11" xfId="204" applyFont="1" applyFill="1" applyBorder="1" applyAlignment="1">
      <alignment horizontal="center"/>
    </xf>
    <xf numFmtId="164" fontId="23" fillId="27" borderId="12" xfId="204" applyFont="1" applyFill="1" applyBorder="1" applyAlignment="1">
      <alignment horizontal="center"/>
    </xf>
    <xf numFmtId="164" fontId="23" fillId="25" borderId="15" xfId="204" applyFont="1" applyFill="1" applyBorder="1" applyAlignment="1">
      <alignment horizontal="center"/>
    </xf>
    <xf numFmtId="164" fontId="23" fillId="25" borderId="34" xfId="204" applyFont="1" applyFill="1" applyBorder="1" applyAlignment="1">
      <alignment horizontal="center"/>
    </xf>
    <xf numFmtId="164" fontId="23" fillId="25" borderId="12" xfId="204" applyFont="1" applyFill="1" applyBorder="1" applyAlignment="1">
      <alignment horizontal="center"/>
    </xf>
    <xf numFmtId="164" fontId="23" fillId="0" borderId="34" xfId="204" applyFont="1" applyFill="1" applyBorder="1" applyAlignment="1">
      <alignment horizontal="center"/>
    </xf>
    <xf numFmtId="164" fontId="23" fillId="27" borderId="34" xfId="204" applyFont="1" applyFill="1" applyBorder="1" applyAlignment="1">
      <alignment horizontal="center"/>
    </xf>
    <xf numFmtId="164" fontId="23" fillId="0" borderId="46" xfId="204" applyFont="1" applyFill="1" applyBorder="1" applyAlignment="1">
      <alignment horizontal="center"/>
    </xf>
    <xf numFmtId="164" fontId="24" fillId="0" borderId="15" xfId="204" applyFont="1" applyFill="1" applyBorder="1" applyAlignment="1">
      <alignment horizontal="center"/>
    </xf>
    <xf numFmtId="164" fontId="24" fillId="0" borderId="11" xfId="204" applyFont="1" applyFill="1" applyBorder="1" applyAlignment="1">
      <alignment horizontal="center"/>
    </xf>
    <xf numFmtId="164" fontId="23" fillId="27" borderId="0" xfId="204" applyFont="1" applyFill="1" applyBorder="1" applyAlignment="1">
      <alignment horizontal="center"/>
    </xf>
    <xf numFmtId="164" fontId="24" fillId="0" borderId="24" xfId="204" applyFont="1" applyFill="1" applyBorder="1" applyAlignment="1">
      <alignment horizontal="center"/>
    </xf>
    <xf numFmtId="164" fontId="24" fillId="0" borderId="29" xfId="204" applyFont="1" applyFill="1" applyBorder="1" applyAlignment="1">
      <alignment horizontal="center"/>
    </xf>
    <xf numFmtId="49" fontId="23" fillId="0" borderId="0" xfId="0" applyNumberFormat="1" applyFont="1" applyFill="1" applyBorder="1" applyAlignment="1">
      <alignment horizontal="left" vertical="top" wrapText="1"/>
    </xf>
    <xf numFmtId="4" fontId="23" fillId="0" borderId="0" xfId="192" applyNumberFormat="1" applyFont="1" applyFill="1" applyBorder="1" applyAlignment="1">
      <alignment horizontal="right" shrinkToFit="1"/>
    </xf>
    <xf numFmtId="164" fontId="23" fillId="27" borderId="22" xfId="204" applyFont="1" applyFill="1" applyBorder="1" applyAlignment="1">
      <alignment horizontal="center" wrapText="1" shrinkToFit="1"/>
    </xf>
    <xf numFmtId="164" fontId="23" fillId="0" borderId="22" xfId="204" applyFont="1" applyFill="1" applyBorder="1" applyAlignment="1">
      <alignment horizontal="center" wrapText="1" shrinkToFit="1"/>
    </xf>
    <xf numFmtId="164" fontId="20" fillId="68" borderId="40" xfId="204" applyFont="1" applyFill="1" applyBorder="1" applyAlignment="1"/>
    <xf numFmtId="164" fontId="114" fillId="67" borderId="21" xfId="204" applyFont="1" applyFill="1" applyBorder="1" applyAlignment="1">
      <alignment horizontal="center"/>
    </xf>
    <xf numFmtId="164" fontId="114" fillId="67" borderId="25" xfId="204" applyFont="1" applyFill="1" applyBorder="1" applyAlignment="1">
      <alignment horizontal="center"/>
    </xf>
    <xf numFmtId="164" fontId="23" fillId="67" borderId="18" xfId="204" applyFont="1" applyFill="1" applyBorder="1" applyAlignment="1">
      <alignment horizontal="center"/>
    </xf>
    <xf numFmtId="164" fontId="23" fillId="67" borderId="33" xfId="204" applyFont="1" applyFill="1" applyBorder="1" applyAlignment="1">
      <alignment horizontal="center"/>
    </xf>
    <xf numFmtId="164" fontId="29" fillId="0" borderId="40" xfId="204" applyFont="1" applyFill="1" applyBorder="1" applyAlignment="1">
      <alignment vertical="center"/>
    </xf>
    <xf numFmtId="49" fontId="29" fillId="28" borderId="39" xfId="0" quotePrefix="1" applyNumberFormat="1" applyFont="1" applyFill="1" applyBorder="1" applyAlignment="1">
      <alignment horizontal="center" vertical="center" wrapText="1"/>
    </xf>
    <xf numFmtId="49" fontId="29" fillId="28" borderId="42" xfId="0" quotePrefix="1" applyNumberFormat="1" applyFont="1" applyFill="1" applyBorder="1" applyAlignment="1">
      <alignment horizontal="center" vertical="center" wrapText="1"/>
    </xf>
    <xf numFmtId="164" fontId="23" fillId="25" borderId="43" xfId="204" applyFont="1" applyFill="1" applyBorder="1" applyAlignment="1">
      <alignment horizontal="center"/>
    </xf>
    <xf numFmtId="0" fontId="23" fillId="0" borderId="34" xfId="0" applyFont="1" applyFill="1" applyBorder="1" applyAlignment="1">
      <alignment vertical="center" wrapText="1"/>
    </xf>
    <xf numFmtId="0" fontId="23" fillId="0" borderId="46" xfId="0" applyFont="1" applyFill="1" applyBorder="1" applyAlignment="1">
      <alignment vertical="center" wrapText="1"/>
    </xf>
    <xf numFmtId="0" fontId="23" fillId="0" borderId="36"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27" borderId="12"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27" borderId="14" xfId="0" applyFont="1" applyFill="1" applyBorder="1" applyAlignment="1">
      <alignment horizontal="center" vertical="center" wrapText="1"/>
    </xf>
    <xf numFmtId="0" fontId="23" fillId="67" borderId="11" xfId="0" applyFont="1" applyFill="1" applyBorder="1" applyAlignment="1">
      <alignment horizontal="center" vertical="center" wrapText="1"/>
    </xf>
    <xf numFmtId="0" fontId="23" fillId="68" borderId="14" xfId="0" applyFont="1" applyFill="1" applyBorder="1" applyAlignment="1">
      <alignment horizontal="center" vertical="center" wrapText="1"/>
    </xf>
    <xf numFmtId="0" fontId="23" fillId="25" borderId="14" xfId="0" quotePrefix="1" applyFont="1" applyFill="1" applyBorder="1" applyAlignment="1">
      <alignment horizontal="center" vertical="center" wrapText="1"/>
    </xf>
    <xf numFmtId="0" fontId="23" fillId="67" borderId="14" xfId="0" applyFont="1" applyFill="1" applyBorder="1" applyAlignment="1">
      <alignment horizontal="center" vertical="center" wrapText="1"/>
    </xf>
    <xf numFmtId="0" fontId="23" fillId="27" borderId="11" xfId="0" applyFont="1" applyFill="1" applyBorder="1" applyAlignment="1">
      <alignment horizontal="center" vertical="center" wrapText="1"/>
    </xf>
    <xf numFmtId="0" fontId="0" fillId="0" borderId="0" xfId="0" applyAlignment="1">
      <alignment wrapText="1"/>
    </xf>
    <xf numFmtId="164" fontId="24" fillId="68" borderId="20" xfId="204" applyFont="1" applyFill="1" applyBorder="1" applyAlignment="1">
      <alignment horizontal="center"/>
    </xf>
    <xf numFmtId="0" fontId="4" fillId="67" borderId="38" xfId="0" applyFont="1" applyFill="1" applyBorder="1" applyAlignment="1">
      <alignment horizontal="center" vertical="center" wrapText="1"/>
    </xf>
    <xf numFmtId="164" fontId="24" fillId="67" borderId="23" xfId="204" applyFont="1" applyFill="1" applyBorder="1" applyAlignment="1">
      <alignment horizontal="center"/>
    </xf>
    <xf numFmtId="164" fontId="23" fillId="67" borderId="11" xfId="204" applyFont="1" applyFill="1" applyBorder="1" applyAlignment="1">
      <alignment horizontal="center"/>
    </xf>
    <xf numFmtId="164" fontId="23" fillId="68" borderId="24" xfId="204" applyFont="1" applyFill="1" applyBorder="1" applyAlignment="1">
      <alignment horizontal="center"/>
    </xf>
    <xf numFmtId="0" fontId="4" fillId="67" borderId="14" xfId="0" applyFont="1" applyFill="1" applyBorder="1" applyAlignment="1">
      <alignment horizontal="center" vertical="center" wrapText="1"/>
    </xf>
    <xf numFmtId="164" fontId="114" fillId="0" borderId="0" xfId="0" applyNumberFormat="1" applyFont="1" applyFill="1" applyAlignment="1">
      <alignment horizontal="center" vertical="center"/>
    </xf>
    <xf numFmtId="0" fontId="4" fillId="67" borderId="11" xfId="0" applyFont="1" applyFill="1" applyBorder="1" applyAlignment="1">
      <alignment horizontal="center" vertical="center" wrapText="1"/>
    </xf>
    <xf numFmtId="164" fontId="114" fillId="67" borderId="22" xfId="204" applyFont="1" applyFill="1" applyBorder="1" applyAlignment="1">
      <alignment horizontal="center"/>
    </xf>
    <xf numFmtId="164" fontId="114" fillId="67" borderId="26" xfId="204" applyFont="1" applyFill="1" applyBorder="1" applyAlignment="1">
      <alignment horizontal="center"/>
    </xf>
    <xf numFmtId="164" fontId="23" fillId="67" borderId="30" xfId="204" applyFont="1" applyFill="1" applyBorder="1" applyAlignment="1">
      <alignment horizontal="center"/>
    </xf>
    <xf numFmtId="0" fontId="32" fillId="0" borderId="41" xfId="0" applyNumberFormat="1" applyFont="1" applyFill="1" applyBorder="1" applyAlignment="1">
      <alignment vertical="center" wrapText="1"/>
    </xf>
    <xf numFmtId="164" fontId="29" fillId="0" borderId="40" xfId="204" applyFont="1" applyFill="1" applyBorder="1" applyAlignment="1">
      <alignment vertical="center" wrapText="1"/>
    </xf>
    <xf numFmtId="164" fontId="23" fillId="67" borderId="14" xfId="204" applyFont="1" applyFill="1" applyBorder="1" applyAlignment="1">
      <alignment horizontal="center"/>
    </xf>
    <xf numFmtId="164" fontId="114" fillId="0" borderId="21" xfId="204" applyFont="1" applyFill="1" applyBorder="1" applyAlignment="1">
      <alignment horizontal="center" wrapText="1"/>
    </xf>
    <xf numFmtId="164" fontId="23" fillId="67" borderId="15" xfId="204" applyFont="1" applyFill="1" applyBorder="1" applyAlignment="1">
      <alignment horizontal="center"/>
    </xf>
    <xf numFmtId="164" fontId="21" fillId="0" borderId="19" xfId="204" applyNumberFormat="1" applyFont="1" applyFill="1" applyBorder="1" applyAlignment="1">
      <alignment horizontal="center"/>
    </xf>
    <xf numFmtId="0" fontId="7" fillId="68" borderId="38" xfId="0" applyFont="1" applyFill="1" applyBorder="1" applyAlignment="1">
      <alignment horizontal="center" vertical="center"/>
    </xf>
    <xf numFmtId="164" fontId="114" fillId="27" borderId="21" xfId="204" applyFont="1" applyFill="1" applyBorder="1" applyAlignment="1">
      <alignment horizontal="center" wrapText="1"/>
    </xf>
    <xf numFmtId="164" fontId="24" fillId="68" borderId="32" xfId="204" applyFont="1" applyFill="1" applyBorder="1" applyAlignment="1">
      <alignment horizontal="center"/>
    </xf>
    <xf numFmtId="164" fontId="23" fillId="68" borderId="36" xfId="204" applyFont="1" applyFill="1" applyBorder="1" applyAlignment="1">
      <alignment horizontal="center"/>
    </xf>
    <xf numFmtId="164" fontId="23" fillId="68" borderId="34" xfId="204" applyFont="1" applyFill="1" applyBorder="1" applyAlignment="1">
      <alignment horizontal="center"/>
    </xf>
    <xf numFmtId="164" fontId="23" fillId="68" borderId="0" xfId="204" applyFont="1" applyFill="1" applyBorder="1" applyAlignment="1">
      <alignment horizontal="center"/>
    </xf>
    <xf numFmtId="164" fontId="24" fillId="68" borderId="37" xfId="204" applyFont="1" applyFill="1" applyBorder="1" applyAlignment="1">
      <alignment horizontal="center"/>
    </xf>
    <xf numFmtId="164" fontId="23" fillId="68" borderId="13" xfId="204" applyFont="1" applyFill="1" applyBorder="1" applyAlignment="1">
      <alignment horizontal="center"/>
    </xf>
    <xf numFmtId="164" fontId="24" fillId="68" borderId="33" xfId="204" applyFont="1" applyFill="1" applyBorder="1" applyAlignment="1">
      <alignment horizontal="center"/>
    </xf>
    <xf numFmtId="164" fontId="23" fillId="68" borderId="31" xfId="204" applyFont="1" applyFill="1" applyBorder="1" applyAlignment="1">
      <alignment horizontal="center"/>
    </xf>
    <xf numFmtId="164" fontId="17" fillId="0" borderId="13" xfId="204" applyNumberFormat="1" applyFont="1" applyFill="1" applyBorder="1" applyAlignment="1"/>
    <xf numFmtId="0" fontId="23" fillId="67" borderId="11" xfId="0" quotePrefix="1" applyFont="1" applyFill="1" applyBorder="1" applyAlignment="1">
      <alignment horizontal="center" vertical="center" wrapText="1"/>
    </xf>
    <xf numFmtId="0" fontId="23" fillId="67" borderId="12" xfId="0" applyFont="1" applyFill="1" applyBorder="1" applyAlignment="1">
      <alignment horizontal="center" vertical="center" wrapText="1"/>
    </xf>
    <xf numFmtId="0" fontId="23" fillId="0" borderId="14" xfId="0" applyFont="1" applyFill="1" applyBorder="1" applyAlignment="1">
      <alignment horizontal="center"/>
    </xf>
    <xf numFmtId="0" fontId="23" fillId="67" borderId="15" xfId="0" applyFont="1" applyFill="1" applyBorder="1" applyAlignment="1">
      <alignment horizontal="center" vertical="center" wrapText="1"/>
    </xf>
    <xf numFmtId="164" fontId="114" fillId="70" borderId="33" xfId="204" applyFont="1" applyFill="1" applyBorder="1" applyAlignment="1">
      <alignment horizontal="center"/>
    </xf>
    <xf numFmtId="164" fontId="23" fillId="70" borderId="14" xfId="204" applyFont="1" applyFill="1" applyBorder="1" applyAlignment="1">
      <alignment horizontal="center"/>
    </xf>
    <xf numFmtId="164" fontId="23" fillId="70" borderId="33" xfId="204" applyFont="1" applyFill="1" applyBorder="1" applyAlignment="1">
      <alignment horizontal="center"/>
    </xf>
    <xf numFmtId="164" fontId="23" fillId="70" borderId="11" xfId="204" applyFont="1" applyFill="1" applyBorder="1" applyAlignment="1">
      <alignment horizontal="center"/>
    </xf>
    <xf numFmtId="164" fontId="23" fillId="70" borderId="29" xfId="204" applyFont="1" applyFill="1" applyBorder="1" applyAlignment="1">
      <alignment horizontal="center"/>
    </xf>
    <xf numFmtId="0" fontId="7" fillId="70" borderId="38" xfId="0" applyFont="1" applyFill="1" applyBorder="1" applyAlignment="1">
      <alignment horizontal="center" vertical="center" wrapText="1"/>
    </xf>
    <xf numFmtId="164" fontId="114" fillId="70" borderId="21" xfId="204" applyFont="1" applyFill="1" applyBorder="1" applyAlignment="1">
      <alignment horizontal="center"/>
    </xf>
    <xf numFmtId="164" fontId="114" fillId="70" borderId="25" xfId="204" applyFont="1" applyFill="1" applyBorder="1" applyAlignment="1">
      <alignment horizontal="center"/>
    </xf>
    <xf numFmtId="164" fontId="23" fillId="70" borderId="31" xfId="204" applyFont="1" applyFill="1" applyBorder="1" applyAlignment="1">
      <alignment horizontal="center"/>
    </xf>
    <xf numFmtId="164" fontId="23" fillId="70" borderId="16" xfId="204" applyFont="1" applyFill="1" applyBorder="1" applyAlignment="1">
      <alignment horizontal="center"/>
    </xf>
    <xf numFmtId="164" fontId="23" fillId="70" borderId="21" xfId="204" applyFont="1" applyFill="1" applyBorder="1" applyAlignment="1">
      <alignment horizontal="center"/>
    </xf>
    <xf numFmtId="0" fontId="23" fillId="70" borderId="11" xfId="0" applyFont="1" applyFill="1" applyBorder="1" applyAlignment="1">
      <alignment horizontal="center" vertical="center" wrapText="1"/>
    </xf>
    <xf numFmtId="164" fontId="23" fillId="70" borderId="25" xfId="204" applyFont="1" applyFill="1" applyBorder="1" applyAlignment="1">
      <alignment horizontal="center"/>
    </xf>
    <xf numFmtId="164" fontId="24" fillId="70" borderId="21" xfId="204" applyFont="1" applyFill="1" applyBorder="1" applyAlignment="1">
      <alignment horizontal="center"/>
    </xf>
    <xf numFmtId="164" fontId="24" fillId="70" borderId="25" xfId="204" applyFont="1" applyFill="1" applyBorder="1" applyAlignment="1">
      <alignment horizontal="center"/>
    </xf>
    <xf numFmtId="164" fontId="117" fillId="70" borderId="38" xfId="204" applyFont="1" applyFill="1" applyBorder="1" applyAlignment="1">
      <alignment vertical="center"/>
    </xf>
    <xf numFmtId="49" fontId="32" fillId="70" borderId="38" xfId="0" applyNumberFormat="1" applyFont="1" applyFill="1" applyBorder="1" applyAlignment="1">
      <alignment horizontal="center" vertical="center" wrapText="1"/>
    </xf>
    <xf numFmtId="0" fontId="69" fillId="70" borderId="38" xfId="0" applyFont="1" applyFill="1" applyBorder="1" applyAlignment="1">
      <alignment horizontal="center" vertical="center" wrapText="1"/>
    </xf>
    <xf numFmtId="164" fontId="63" fillId="70" borderId="38" xfId="204" quotePrefix="1" applyFont="1" applyFill="1" applyBorder="1" applyAlignment="1">
      <alignment horizontal="center" vertical="center"/>
    </xf>
    <xf numFmtId="164" fontId="61" fillId="70" borderId="38" xfId="204" applyFont="1" applyFill="1" applyBorder="1" applyAlignment="1">
      <alignment vertical="center"/>
    </xf>
    <xf numFmtId="0" fontId="59" fillId="70" borderId="38" xfId="0" applyFont="1" applyFill="1" applyBorder="1" applyAlignment="1">
      <alignment horizontal="center" vertical="center" wrapText="1"/>
    </xf>
    <xf numFmtId="49" fontId="29" fillId="70" borderId="38" xfId="0" quotePrefix="1" applyNumberFormat="1" applyFont="1" applyFill="1" applyBorder="1" applyAlignment="1">
      <alignment horizontal="center" vertical="center" wrapText="1"/>
    </xf>
    <xf numFmtId="164" fontId="63" fillId="70" borderId="38" xfId="204" applyFont="1" applyFill="1" applyBorder="1" applyAlignment="1">
      <alignment vertical="center"/>
    </xf>
    <xf numFmtId="164" fontId="29" fillId="70" borderId="38" xfId="204" applyFont="1" applyFill="1" applyBorder="1" applyAlignment="1">
      <alignment horizontal="center" vertical="center"/>
    </xf>
    <xf numFmtId="164" fontId="31" fillId="70" borderId="38" xfId="204" applyFont="1" applyFill="1" applyBorder="1" applyAlignment="1">
      <alignment horizontal="center" vertical="center"/>
    </xf>
    <xf numFmtId="0" fontId="29" fillId="0" borderId="0" xfId="0" applyFont="1" applyBorder="1" applyAlignment="1">
      <alignment horizontal="right" vertical="center"/>
    </xf>
    <xf numFmtId="164" fontId="32" fillId="0" borderId="38" xfId="0" applyNumberFormat="1" applyFont="1" applyBorder="1" applyAlignment="1">
      <alignment horizontal="center" vertical="center" wrapText="1"/>
    </xf>
    <xf numFmtId="4" fontId="55" fillId="26" borderId="38" xfId="187" applyNumberFormat="1" applyFont="1" applyFill="1" applyBorder="1" applyAlignment="1">
      <alignment horizontal="right" vertical="center" wrapText="1" shrinkToFit="1"/>
    </xf>
    <xf numFmtId="164" fontId="29" fillId="0" borderId="0" xfId="204" applyFont="1" applyFill="1" applyBorder="1" applyAlignment="1">
      <alignment horizontal="center" vertical="center" wrapText="1"/>
    </xf>
    <xf numFmtId="164" fontId="23" fillId="70" borderId="24" xfId="204" applyFont="1" applyFill="1" applyBorder="1" applyAlignment="1">
      <alignment horizontal="center"/>
    </xf>
    <xf numFmtId="164" fontId="23" fillId="70" borderId="23" xfId="204" applyFont="1" applyFill="1" applyBorder="1" applyAlignment="1">
      <alignment horizontal="center"/>
    </xf>
    <xf numFmtId="164" fontId="23" fillId="70" borderId="28" xfId="204" applyFont="1" applyFill="1" applyBorder="1" applyAlignment="1">
      <alignment horizontal="center"/>
    </xf>
    <xf numFmtId="164" fontId="23" fillId="70" borderId="44" xfId="204" applyFont="1" applyFill="1" applyBorder="1" applyAlignment="1">
      <alignment horizontal="center"/>
    </xf>
    <xf numFmtId="164" fontId="23" fillId="70" borderId="48" xfId="204" applyFont="1" applyFill="1" applyBorder="1" applyAlignment="1">
      <alignment horizontal="center"/>
    </xf>
    <xf numFmtId="164" fontId="23" fillId="70" borderId="43" xfId="204" applyFont="1" applyFill="1" applyBorder="1" applyAlignment="1">
      <alignment horizontal="center"/>
    </xf>
    <xf numFmtId="49" fontId="29" fillId="70" borderId="38" xfId="0" applyNumberFormat="1" applyFont="1" applyFill="1" applyBorder="1" applyAlignment="1">
      <alignment horizontal="center" vertical="center" wrapText="1"/>
    </xf>
    <xf numFmtId="164" fontId="114" fillId="70" borderId="23" xfId="204" applyFont="1" applyFill="1" applyBorder="1" applyAlignment="1">
      <alignment horizontal="center"/>
    </xf>
    <xf numFmtId="4" fontId="23" fillId="0" borderId="38" xfId="127" applyNumberFormat="1" applyFont="1" applyFill="1" applyBorder="1" applyAlignment="1" applyProtection="1">
      <alignment horizontal="right" shrinkToFit="1"/>
      <protection locked="0"/>
    </xf>
    <xf numFmtId="164" fontId="31" fillId="0" borderId="38" xfId="204" applyNumberFormat="1" applyFont="1" applyFill="1" applyBorder="1" applyAlignment="1">
      <alignment horizontal="center" vertical="center"/>
    </xf>
    <xf numFmtId="4" fontId="58" fillId="0" borderId="1" xfId="0" applyNumberFormat="1" applyFont="1" applyFill="1" applyBorder="1" applyAlignment="1">
      <alignment horizontal="right" vertical="center" shrinkToFit="1"/>
    </xf>
    <xf numFmtId="0" fontId="29" fillId="0" borderId="39" xfId="0" applyFont="1" applyBorder="1" applyAlignment="1">
      <alignment horizontal="center" vertical="center"/>
    </xf>
    <xf numFmtId="164" fontId="31" fillId="0" borderId="42" xfId="204" applyFont="1" applyBorder="1" applyAlignment="1">
      <alignment horizontal="center" vertical="center"/>
    </xf>
    <xf numFmtId="164" fontId="20" fillId="0" borderId="38" xfId="204" applyFont="1" applyFill="1" applyBorder="1" applyAlignment="1">
      <alignment horizontal="right" shrinkToFit="1"/>
    </xf>
    <xf numFmtId="164" fontId="20" fillId="0" borderId="38" xfId="204" applyFont="1" applyBorder="1" applyAlignment="1">
      <alignment horizontal="right" shrinkToFit="1"/>
    </xf>
    <xf numFmtId="164" fontId="65" fillId="0" borderId="38" xfId="204" applyFont="1" applyBorder="1"/>
    <xf numFmtId="164" fontId="65" fillId="0" borderId="0" xfId="204" applyFont="1" applyFill="1"/>
    <xf numFmtId="164" fontId="65" fillId="0" borderId="0" xfId="204" applyFont="1"/>
    <xf numFmtId="165" fontId="8" fillId="0" borderId="11" xfId="204" applyNumberFormat="1" applyFont="1" applyFill="1" applyBorder="1" applyAlignment="1"/>
    <xf numFmtId="164" fontId="23" fillId="67" borderId="37" xfId="204" applyFont="1" applyFill="1" applyBorder="1" applyAlignment="1">
      <alignment horizontal="center"/>
    </xf>
    <xf numFmtId="164" fontId="114" fillId="0" borderId="22" xfId="204" applyFont="1" applyFill="1" applyBorder="1" applyAlignment="1">
      <alignment horizontal="center" wrapText="1"/>
    </xf>
    <xf numFmtId="164" fontId="0" fillId="0" borderId="0" xfId="0" applyNumberFormat="1" applyFill="1"/>
    <xf numFmtId="164" fontId="23" fillId="67" borderId="23" xfId="204" applyFont="1" applyFill="1" applyBorder="1" applyAlignment="1">
      <alignment horizontal="center"/>
    </xf>
    <xf numFmtId="4" fontId="118" fillId="0" borderId="0" xfId="116" applyNumberFormat="1" applyFont="1" applyBorder="1" applyAlignment="1" applyProtection="1">
      <alignment horizontal="right" vertical="top" shrinkToFit="1"/>
    </xf>
    <xf numFmtId="3" fontId="23" fillId="67" borderId="11" xfId="0" applyNumberFormat="1" applyFont="1" applyFill="1" applyBorder="1" applyAlignment="1">
      <alignment horizontal="center" vertical="center" wrapText="1"/>
    </xf>
    <xf numFmtId="164" fontId="31" fillId="0" borderId="0" xfId="204" applyFont="1" applyFill="1" applyBorder="1" applyAlignment="1">
      <alignment horizontal="center" vertical="center"/>
    </xf>
    <xf numFmtId="164" fontId="115" fillId="0" borderId="38" xfId="204" applyFont="1" applyFill="1" applyBorder="1" applyAlignment="1">
      <alignment vertical="center"/>
    </xf>
    <xf numFmtId="164" fontId="24" fillId="27" borderId="32" xfId="204" applyFont="1" applyFill="1" applyBorder="1" applyAlignment="1">
      <alignment horizontal="center"/>
    </xf>
    <xf numFmtId="164" fontId="24" fillId="0" borderId="37" xfId="204" applyFont="1" applyFill="1" applyBorder="1" applyAlignment="1">
      <alignment horizontal="center" wrapText="1" shrinkToFit="1"/>
    </xf>
    <xf numFmtId="164" fontId="24" fillId="0" borderId="33" xfId="204" applyFont="1" applyFill="1" applyBorder="1" applyAlignment="1">
      <alignment horizontal="center" wrapText="1" shrinkToFit="1"/>
    </xf>
    <xf numFmtId="164" fontId="23" fillId="0" borderId="21" xfId="204" applyFont="1" applyFill="1" applyBorder="1" applyAlignment="1">
      <alignment horizontal="center" shrinkToFit="1"/>
    </xf>
    <xf numFmtId="164" fontId="23" fillId="0" borderId="33" xfId="204" applyFont="1" applyFill="1" applyBorder="1" applyAlignment="1">
      <alignment horizontal="center" shrinkToFit="1"/>
    </xf>
    <xf numFmtId="164" fontId="23" fillId="27" borderId="23" xfId="204" applyFont="1" applyFill="1" applyBorder="1" applyAlignment="1">
      <alignment horizontal="center" wrapText="1" shrinkToFit="1"/>
    </xf>
    <xf numFmtId="164" fontId="23" fillId="0" borderId="13" xfId="204" applyFont="1" applyFill="1" applyBorder="1" applyAlignment="1">
      <alignment horizontal="center" wrapText="1"/>
    </xf>
    <xf numFmtId="164" fontId="23" fillId="0" borderId="11" xfId="204" applyFont="1" applyFill="1" applyBorder="1" applyAlignment="1">
      <alignment horizontal="center" wrapText="1"/>
    </xf>
    <xf numFmtId="164" fontId="23" fillId="0" borderId="31" xfId="204" applyFont="1" applyFill="1" applyBorder="1" applyAlignment="1">
      <alignment horizontal="center" wrapText="1"/>
    </xf>
    <xf numFmtId="164" fontId="23" fillId="27" borderId="31" xfId="204" applyFont="1" applyFill="1" applyBorder="1" applyAlignment="1">
      <alignment horizontal="center" wrapText="1"/>
    </xf>
    <xf numFmtId="164" fontId="23" fillId="27" borderId="11" xfId="204" applyFont="1" applyFill="1" applyBorder="1" applyAlignment="1">
      <alignment horizontal="center" wrapText="1"/>
    </xf>
    <xf numFmtId="164" fontId="23" fillId="27" borderId="12" xfId="204" applyFont="1" applyFill="1" applyBorder="1" applyAlignment="1">
      <alignment horizontal="center" wrapText="1"/>
    </xf>
    <xf numFmtId="164" fontId="23" fillId="25" borderId="11" xfId="204" applyFont="1" applyFill="1" applyBorder="1" applyAlignment="1">
      <alignment horizontal="center" wrapText="1"/>
    </xf>
    <xf numFmtId="4" fontId="125" fillId="0" borderId="79" xfId="48" applyNumberFormat="1" applyFont="1" applyFill="1" applyBorder="1" applyAlignment="1" applyProtection="1">
      <alignment horizontal="right" wrapText="1" shrinkToFit="1"/>
    </xf>
    <xf numFmtId="164" fontId="23" fillId="68" borderId="22" xfId="204" applyFont="1" applyFill="1" applyBorder="1" applyAlignment="1">
      <alignment horizontal="center" wrapText="1" shrinkToFit="1"/>
    </xf>
    <xf numFmtId="0" fontId="23" fillId="27" borderId="43" xfId="0" applyFont="1" applyFill="1" applyBorder="1" applyAlignment="1">
      <alignment horizontal="center" vertical="center" wrapText="1"/>
    </xf>
    <xf numFmtId="164" fontId="24" fillId="0" borderId="48" xfId="204" applyFont="1" applyFill="1" applyBorder="1" applyAlignment="1">
      <alignment horizontal="center"/>
    </xf>
    <xf numFmtId="164" fontId="23" fillId="70" borderId="47" xfId="204" applyFont="1" applyFill="1" applyBorder="1" applyAlignment="1">
      <alignment horizontal="center"/>
    </xf>
    <xf numFmtId="164" fontId="114" fillId="67" borderId="32" xfId="204" applyFont="1" applyFill="1" applyBorder="1" applyAlignment="1">
      <alignment horizontal="center"/>
    </xf>
    <xf numFmtId="164" fontId="24" fillId="68" borderId="48" xfId="204" applyFont="1" applyFill="1" applyBorder="1" applyAlignment="1">
      <alignment horizontal="center"/>
    </xf>
    <xf numFmtId="164" fontId="24" fillId="70" borderId="33" xfId="204" applyFont="1" applyFill="1" applyBorder="1" applyAlignment="1">
      <alignment horizontal="center"/>
    </xf>
    <xf numFmtId="164" fontId="23" fillId="67" borderId="48" xfId="204" applyFont="1" applyFill="1" applyBorder="1" applyAlignment="1">
      <alignment horizontal="center"/>
    </xf>
    <xf numFmtId="164" fontId="114" fillId="0" borderId="33" xfId="204" applyFont="1" applyFill="1" applyBorder="1" applyAlignment="1">
      <alignment horizontal="center" wrapText="1"/>
    </xf>
    <xf numFmtId="164" fontId="114" fillId="0" borderId="32" xfId="204" applyFont="1" applyFill="1" applyBorder="1" applyAlignment="1">
      <alignment horizontal="center" wrapText="1"/>
    </xf>
    <xf numFmtId="164" fontId="114" fillId="27" borderId="33" xfId="204" applyFont="1" applyFill="1" applyBorder="1" applyAlignment="1">
      <alignment horizontal="center" wrapText="1"/>
    </xf>
    <xf numFmtId="164" fontId="114" fillId="67" borderId="33" xfId="204" applyFont="1" applyFill="1" applyBorder="1" applyAlignment="1">
      <alignment horizontal="center"/>
    </xf>
    <xf numFmtId="164" fontId="24" fillId="68" borderId="22" xfId="204" applyFont="1" applyFill="1" applyBorder="1" applyAlignment="1">
      <alignment horizontal="center"/>
    </xf>
    <xf numFmtId="0" fontId="4" fillId="67" borderId="12" xfId="0" applyFont="1" applyFill="1" applyBorder="1" applyAlignment="1">
      <alignment horizontal="center" vertical="center" wrapText="1"/>
    </xf>
    <xf numFmtId="164" fontId="23" fillId="27" borderId="15" xfId="204" applyFont="1" applyFill="1" applyBorder="1" applyAlignment="1">
      <alignment horizontal="center" wrapText="1"/>
    </xf>
    <xf numFmtId="164" fontId="23" fillId="27" borderId="15" xfId="204" applyFont="1" applyFill="1" applyBorder="1" applyAlignment="1">
      <alignment horizontal="center"/>
    </xf>
    <xf numFmtId="164" fontId="23" fillId="67" borderId="43" xfId="204" applyFont="1" applyFill="1" applyBorder="1" applyAlignment="1">
      <alignment horizontal="center"/>
    </xf>
    <xf numFmtId="164" fontId="23" fillId="67" borderId="12" xfId="204" applyFont="1" applyFill="1" applyBorder="1" applyAlignment="1">
      <alignment horizontal="center"/>
    </xf>
    <xf numFmtId="0" fontId="23" fillId="70" borderId="43" xfId="0" applyFont="1" applyFill="1" applyBorder="1" applyAlignment="1">
      <alignment horizontal="center" vertical="center" wrapText="1"/>
    </xf>
    <xf numFmtId="164" fontId="114" fillId="70" borderId="22" xfId="204" applyFont="1" applyFill="1" applyBorder="1" applyAlignment="1">
      <alignment horizontal="center"/>
    </xf>
    <xf numFmtId="164" fontId="23" fillId="70" borderId="30" xfId="204" applyFont="1" applyFill="1" applyBorder="1" applyAlignment="1">
      <alignment horizontal="center"/>
    </xf>
    <xf numFmtId="164" fontId="23" fillId="70" borderId="0" xfId="204" applyFont="1" applyFill="1" applyBorder="1" applyAlignment="1">
      <alignment horizontal="center"/>
    </xf>
    <xf numFmtId="164" fontId="114" fillId="70" borderId="32" xfId="204" applyFont="1" applyFill="1" applyBorder="1" applyAlignment="1">
      <alignment horizontal="center"/>
    </xf>
    <xf numFmtId="164" fontId="23" fillId="70" borderId="12" xfId="204" applyFont="1" applyFill="1" applyBorder="1" applyAlignment="1">
      <alignment horizontal="center"/>
    </xf>
    <xf numFmtId="164" fontId="23" fillId="70" borderId="22" xfId="204" applyFont="1" applyFill="1" applyBorder="1" applyAlignment="1">
      <alignment horizontal="center"/>
    </xf>
    <xf numFmtId="164" fontId="23" fillId="70" borderId="32" xfId="204" applyFont="1" applyFill="1" applyBorder="1" applyAlignment="1">
      <alignment horizontal="center"/>
    </xf>
    <xf numFmtId="164" fontId="23" fillId="67" borderId="32" xfId="204" applyFont="1" applyFill="1" applyBorder="1" applyAlignment="1">
      <alignment horizontal="center"/>
    </xf>
    <xf numFmtId="164" fontId="23" fillId="67" borderId="20" xfId="204" applyFont="1" applyFill="1" applyBorder="1" applyAlignment="1">
      <alignment horizontal="center"/>
    </xf>
    <xf numFmtId="164" fontId="23" fillId="67" borderId="36" xfId="204" applyFont="1" applyFill="1" applyBorder="1" applyAlignment="1">
      <alignment horizontal="center"/>
    </xf>
    <xf numFmtId="164" fontId="23" fillId="0" borderId="12" xfId="204" applyFont="1" applyFill="1" applyBorder="1" applyAlignment="1">
      <alignment horizontal="center" wrapText="1"/>
    </xf>
    <xf numFmtId="164" fontId="23" fillId="70" borderId="15" xfId="204" applyFont="1" applyFill="1" applyBorder="1" applyAlignment="1">
      <alignment horizontal="center"/>
    </xf>
    <xf numFmtId="164" fontId="23" fillId="70" borderId="34" xfId="204" applyFont="1" applyFill="1" applyBorder="1" applyAlignment="1">
      <alignment horizontal="center"/>
    </xf>
    <xf numFmtId="164" fontId="23" fillId="70" borderId="46" xfId="204" applyFont="1" applyFill="1" applyBorder="1" applyAlignment="1">
      <alignment horizontal="center"/>
    </xf>
    <xf numFmtId="164" fontId="23" fillId="0" borderId="31" xfId="204" applyFont="1" applyBorder="1" applyAlignment="1">
      <alignment horizontal="center" wrapText="1" shrinkToFit="1"/>
    </xf>
    <xf numFmtId="164" fontId="23" fillId="0" borderId="11" xfId="204" applyFont="1" applyBorder="1" applyAlignment="1">
      <alignment horizontal="center" wrapText="1" shrinkToFit="1"/>
    </xf>
    <xf numFmtId="164" fontId="23" fillId="27" borderId="31" xfId="204" applyFont="1" applyFill="1" applyBorder="1" applyAlignment="1">
      <alignment horizontal="center" wrapText="1" shrinkToFit="1"/>
    </xf>
    <xf numFmtId="164" fontId="23" fillId="0" borderId="33" xfId="204" applyFont="1" applyFill="1" applyBorder="1" applyAlignment="1">
      <alignment horizontal="center" wrapText="1" shrinkToFit="1"/>
    </xf>
    <xf numFmtId="3" fontId="23" fillId="67" borderId="12" xfId="0" applyNumberFormat="1" applyFont="1" applyFill="1" applyBorder="1" applyAlignment="1">
      <alignment horizontal="center" vertical="center" wrapText="1"/>
    </xf>
    <xf numFmtId="0" fontId="23" fillId="70" borderId="46" xfId="0" applyFont="1" applyFill="1" applyBorder="1" applyAlignment="1">
      <alignment horizontal="center" vertical="center" wrapText="1"/>
    </xf>
    <xf numFmtId="164" fontId="23" fillId="70" borderId="49" xfId="204" applyFont="1" applyFill="1" applyBorder="1" applyAlignment="1">
      <alignment horizontal="center"/>
    </xf>
    <xf numFmtId="0" fontId="4" fillId="67" borderId="36" xfId="0" applyFont="1" applyFill="1" applyBorder="1" applyAlignment="1">
      <alignment horizontal="center" vertical="center" wrapText="1"/>
    </xf>
    <xf numFmtId="0" fontId="4" fillId="70" borderId="14" xfId="0" applyFont="1" applyFill="1" applyBorder="1" applyAlignment="1">
      <alignment horizontal="center" vertical="center" wrapText="1"/>
    </xf>
    <xf numFmtId="4" fontId="124" fillId="0" borderId="0" xfId="41" applyNumberFormat="1" applyFont="1" applyBorder="1" applyProtection="1">
      <alignment horizontal="right" vertical="top" shrinkToFit="1"/>
    </xf>
    <xf numFmtId="164" fontId="114" fillId="70" borderId="48" xfId="204" applyFont="1" applyFill="1" applyBorder="1" applyAlignment="1">
      <alignment horizontal="center"/>
    </xf>
    <xf numFmtId="164" fontId="17" fillId="0" borderId="15" xfId="204" applyNumberFormat="1" applyFont="1" applyFill="1" applyBorder="1" applyAlignment="1"/>
    <xf numFmtId="164" fontId="17" fillId="0" borderId="18" xfId="204" applyNumberFormat="1" applyFont="1" applyFill="1" applyBorder="1" applyAlignment="1"/>
    <xf numFmtId="164" fontId="25" fillId="0" borderId="15" xfId="0" applyNumberFormat="1" applyFont="1" applyFill="1" applyBorder="1"/>
    <xf numFmtId="164" fontId="23" fillId="0" borderId="20" xfId="204" applyFont="1" applyFill="1" applyBorder="1" applyAlignment="1">
      <alignment horizontal="center" shrinkToFit="1"/>
    </xf>
    <xf numFmtId="3" fontId="23" fillId="70" borderId="11" xfId="0" applyNumberFormat="1" applyFont="1" applyFill="1" applyBorder="1" applyAlignment="1">
      <alignment horizontal="center" vertical="center" wrapText="1"/>
    </xf>
    <xf numFmtId="0" fontId="4" fillId="70" borderId="43" xfId="0" applyFont="1" applyFill="1" applyBorder="1" applyAlignment="1">
      <alignment horizontal="center" vertical="center" wrapText="1"/>
    </xf>
    <xf numFmtId="164" fontId="23" fillId="25" borderId="43" xfId="204" applyFont="1" applyFill="1" applyBorder="1" applyAlignment="1">
      <alignment horizontal="center" wrapText="1"/>
    </xf>
    <xf numFmtId="164" fontId="23" fillId="25" borderId="23" xfId="204" applyFont="1" applyFill="1" applyBorder="1" applyAlignment="1">
      <alignment horizontal="center" wrapText="1" shrinkToFit="1"/>
    </xf>
    <xf numFmtId="164" fontId="31" fillId="67" borderId="38" xfId="204" applyFont="1" applyFill="1" applyBorder="1" applyAlignment="1">
      <alignment vertical="center"/>
    </xf>
    <xf numFmtId="165" fontId="29" fillId="0" borderId="0" xfId="204" applyNumberFormat="1" applyFont="1" applyAlignment="1">
      <alignment vertical="center"/>
    </xf>
    <xf numFmtId="0" fontId="32" fillId="0" borderId="0" xfId="0" applyFont="1" applyAlignment="1">
      <alignment vertical="center"/>
    </xf>
    <xf numFmtId="0" fontId="32" fillId="0" borderId="0" xfId="0" applyFont="1" applyFill="1" applyAlignment="1">
      <alignment vertical="center"/>
    </xf>
    <xf numFmtId="0" fontId="32" fillId="0" borderId="41" xfId="0" applyFont="1" applyFill="1" applyBorder="1" applyAlignment="1">
      <alignment horizontal="left" vertical="center" wrapText="1"/>
    </xf>
    <xf numFmtId="0" fontId="32" fillId="0" borderId="0" xfId="0" applyFont="1" applyAlignment="1">
      <alignment horizontal="center" vertical="center"/>
    </xf>
    <xf numFmtId="165" fontId="31" fillId="0" borderId="0" xfId="204" applyNumberFormat="1" applyFont="1" applyAlignment="1">
      <alignment vertical="center"/>
    </xf>
    <xf numFmtId="164" fontId="33" fillId="0" borderId="0" xfId="0" applyNumberFormat="1" applyFont="1" applyAlignment="1">
      <alignment vertical="center"/>
    </xf>
    <xf numFmtId="4" fontId="92" fillId="0" borderId="0" xfId="107" applyNumberFormat="1" applyFill="1" applyBorder="1" applyAlignment="1" applyProtection="1">
      <alignment horizontal="right" vertical="center" shrinkToFit="1"/>
      <protection locked="0"/>
    </xf>
    <xf numFmtId="164" fontId="126" fillId="0" borderId="58" xfId="204" applyFont="1" applyBorder="1" applyAlignment="1" applyProtection="1">
      <alignment horizontal="right" vertical="center" shrinkToFit="1"/>
    </xf>
    <xf numFmtId="4" fontId="118" fillId="0" borderId="0" xfId="104" applyNumberFormat="1" applyFont="1" applyBorder="1" applyAlignment="1" applyProtection="1">
      <alignment horizontal="right" vertical="center" shrinkToFit="1"/>
    </xf>
    <xf numFmtId="4" fontId="116" fillId="0" borderId="38" xfId="39" applyNumberFormat="1" applyFont="1" applyFill="1" applyBorder="1" applyAlignment="1" applyProtection="1">
      <alignment horizontal="right" vertical="center" shrinkToFit="1"/>
    </xf>
    <xf numFmtId="169" fontId="127" fillId="0" borderId="0" xfId="0" applyNumberFormat="1" applyFont="1" applyFill="1" applyBorder="1" applyAlignment="1">
      <alignment horizontal="right" vertical="center" wrapText="1" shrinkToFit="1"/>
    </xf>
    <xf numFmtId="164" fontId="33" fillId="0" borderId="0" xfId="0" applyNumberFormat="1" applyFont="1" applyFill="1" applyBorder="1" applyAlignment="1">
      <alignment vertical="center"/>
    </xf>
    <xf numFmtId="167" fontId="31" fillId="0" borderId="38" xfId="0" applyNumberFormat="1" applyFont="1" applyBorder="1" applyAlignment="1">
      <alignment vertical="center"/>
    </xf>
    <xf numFmtId="164" fontId="116" fillId="0" borderId="38" xfId="0" applyNumberFormat="1" applyFont="1" applyBorder="1" applyAlignment="1">
      <alignment vertical="center"/>
    </xf>
    <xf numFmtId="164" fontId="31" fillId="0" borderId="38" xfId="0" applyNumberFormat="1" applyFont="1" applyBorder="1" applyAlignment="1">
      <alignment vertical="center"/>
    </xf>
    <xf numFmtId="4" fontId="32" fillId="0" borderId="0" xfId="0" applyNumberFormat="1" applyFont="1" applyAlignment="1">
      <alignment vertical="center"/>
    </xf>
    <xf numFmtId="165" fontId="29" fillId="0" borderId="0" xfId="204" applyNumberFormat="1" applyFont="1" applyFill="1" applyAlignment="1">
      <alignment vertical="center"/>
    </xf>
    <xf numFmtId="164" fontId="31" fillId="0" borderId="0" xfId="0" applyNumberFormat="1" applyFont="1" applyFill="1" applyAlignment="1">
      <alignment vertical="center"/>
    </xf>
    <xf numFmtId="164" fontId="114" fillId="0" borderId="0" xfId="0" applyNumberFormat="1" applyFont="1"/>
    <xf numFmtId="0" fontId="23" fillId="68" borderId="11" xfId="0" applyFont="1" applyFill="1" applyBorder="1" applyAlignment="1">
      <alignment horizontal="center" vertical="center" wrapText="1"/>
    </xf>
    <xf numFmtId="164" fontId="114" fillId="68" borderId="20" xfId="204" applyFont="1" applyFill="1" applyBorder="1" applyAlignment="1">
      <alignment horizontal="center"/>
    </xf>
    <xf numFmtId="164" fontId="23" fillId="67" borderId="31" xfId="204" applyFont="1" applyFill="1" applyBorder="1" applyAlignment="1">
      <alignment horizontal="center"/>
    </xf>
    <xf numFmtId="4" fontId="118" fillId="0" borderId="58" xfId="104" applyNumberFormat="1" applyFont="1" applyBorder="1" applyAlignment="1" applyProtection="1">
      <alignment horizontal="right" vertical="top" shrinkToFit="1"/>
    </xf>
    <xf numFmtId="0" fontId="23" fillId="0" borderId="36" xfId="0" applyFont="1" applyFill="1" applyBorder="1" applyAlignment="1">
      <alignment horizontal="center" vertical="center"/>
    </xf>
    <xf numFmtId="0" fontId="23" fillId="0" borderId="34" xfId="0" applyFont="1" applyFill="1" applyBorder="1" applyAlignment="1">
      <alignment horizontal="center" vertical="center"/>
    </xf>
    <xf numFmtId="164" fontId="30" fillId="68" borderId="38" xfId="204" applyFont="1" applyFill="1" applyBorder="1" applyAlignment="1">
      <alignment horizontal="right" wrapText="1" shrinkToFit="1"/>
    </xf>
    <xf numFmtId="164" fontId="24" fillId="67" borderId="37" xfId="204" applyFont="1" applyFill="1" applyBorder="1" applyAlignment="1">
      <alignment horizontal="center" wrapText="1" shrinkToFit="1"/>
    </xf>
    <xf numFmtId="164" fontId="23" fillId="0" borderId="37" xfId="204" applyFont="1" applyFill="1" applyBorder="1" applyAlignment="1">
      <alignment horizontal="center" shrinkToFit="1"/>
    </xf>
    <xf numFmtId="164" fontId="24" fillId="0" borderId="49" xfId="204" applyFont="1" applyFill="1" applyBorder="1" applyAlignment="1">
      <alignment horizontal="center"/>
    </xf>
    <xf numFmtId="3" fontId="23" fillId="25" borderId="11" xfId="0" applyNumberFormat="1" applyFont="1" applyFill="1" applyBorder="1" applyAlignment="1">
      <alignment horizontal="center" vertical="center"/>
    </xf>
    <xf numFmtId="164" fontId="24" fillId="67" borderId="21" xfId="204" applyFont="1" applyFill="1" applyBorder="1" applyAlignment="1">
      <alignment horizontal="center" wrapText="1" shrinkToFit="1"/>
    </xf>
    <xf numFmtId="164" fontId="24" fillId="67" borderId="25" xfId="204" applyFont="1" applyFill="1" applyBorder="1" applyAlignment="1">
      <alignment horizontal="center" wrapText="1" shrinkToFit="1"/>
    </xf>
    <xf numFmtId="164" fontId="24" fillId="67" borderId="29" xfId="204" applyFont="1" applyFill="1" applyBorder="1" applyAlignment="1">
      <alignment horizontal="center" wrapText="1" shrinkToFit="1"/>
    </xf>
    <xf numFmtId="164" fontId="24" fillId="67" borderId="20" xfId="204" applyFont="1" applyFill="1" applyBorder="1" applyAlignment="1">
      <alignment horizontal="center" wrapText="1" shrinkToFit="1"/>
    </xf>
    <xf numFmtId="164" fontId="114" fillId="0" borderId="33" xfId="204" applyFont="1" applyFill="1" applyBorder="1" applyAlignment="1">
      <alignment horizontal="center"/>
    </xf>
    <xf numFmtId="164" fontId="24" fillId="68" borderId="21" xfId="204" applyFont="1" applyFill="1" applyBorder="1" applyAlignment="1">
      <alignment horizontal="center" wrapText="1"/>
    </xf>
    <xf numFmtId="0" fontId="4" fillId="67" borderId="34" xfId="0" applyFont="1" applyFill="1" applyBorder="1" applyAlignment="1">
      <alignment horizontal="center" vertical="center" wrapText="1"/>
    </xf>
    <xf numFmtId="0" fontId="23" fillId="70" borderId="34" xfId="0" applyFont="1" applyFill="1" applyBorder="1" applyAlignment="1">
      <alignment horizontal="center" vertical="center" wrapText="1"/>
    </xf>
    <xf numFmtId="164" fontId="24" fillId="70" borderId="37" xfId="204" applyFont="1" applyFill="1" applyBorder="1" applyAlignment="1">
      <alignment horizontal="center"/>
    </xf>
    <xf numFmtId="164" fontId="24" fillId="0" borderId="13" xfId="204" applyFont="1" applyFill="1" applyBorder="1" applyAlignment="1">
      <alignment horizontal="center"/>
    </xf>
    <xf numFmtId="164" fontId="24" fillId="67" borderId="13" xfId="204" applyFont="1" applyFill="1" applyBorder="1" applyAlignment="1">
      <alignment horizontal="center"/>
    </xf>
    <xf numFmtId="164" fontId="24" fillId="0" borderId="31" xfId="204" applyFont="1" applyFill="1" applyBorder="1" applyAlignment="1">
      <alignment horizontal="center"/>
    </xf>
    <xf numFmtId="164" fontId="24" fillId="68" borderId="31" xfId="204" applyFont="1" applyFill="1" applyBorder="1" applyAlignment="1">
      <alignment horizontal="center"/>
    </xf>
    <xf numFmtId="164" fontId="114" fillId="67" borderId="0" xfId="204" applyFont="1" applyFill="1" applyBorder="1" applyAlignment="1">
      <alignment horizontal="center"/>
    </xf>
    <xf numFmtId="164" fontId="114" fillId="70" borderId="31" xfId="204" applyFont="1" applyFill="1" applyBorder="1" applyAlignment="1">
      <alignment horizontal="center"/>
    </xf>
    <xf numFmtId="164" fontId="24" fillId="68" borderId="0" xfId="204" applyFont="1" applyFill="1" applyBorder="1" applyAlignment="1">
      <alignment horizontal="center"/>
    </xf>
    <xf numFmtId="164" fontId="114" fillId="67" borderId="31" xfId="204" applyFont="1" applyFill="1" applyBorder="1" applyAlignment="1">
      <alignment horizontal="center"/>
    </xf>
    <xf numFmtId="164" fontId="114" fillId="70" borderId="0" xfId="204" applyFont="1" applyFill="1" applyBorder="1" applyAlignment="1">
      <alignment horizontal="center"/>
    </xf>
    <xf numFmtId="164" fontId="24" fillId="70" borderId="31" xfId="204" applyFont="1" applyFill="1" applyBorder="1" applyAlignment="1">
      <alignment horizontal="center"/>
    </xf>
    <xf numFmtId="164" fontId="24" fillId="0" borderId="0" xfId="204" applyFont="1" applyFill="1" applyBorder="1" applyAlignment="1">
      <alignment horizontal="center"/>
    </xf>
    <xf numFmtId="164" fontId="23" fillId="67" borderId="13" xfId="204" applyFont="1" applyFill="1" applyBorder="1" applyAlignment="1">
      <alignment horizontal="center"/>
    </xf>
    <xf numFmtId="164" fontId="23" fillId="67" borderId="0" xfId="204" applyFont="1" applyFill="1" applyBorder="1" applyAlignment="1">
      <alignment horizontal="center"/>
    </xf>
    <xf numFmtId="164" fontId="24" fillId="67" borderId="31" xfId="204" applyFont="1" applyFill="1" applyBorder="1" applyAlignment="1">
      <alignment horizontal="center"/>
    </xf>
    <xf numFmtId="164" fontId="23" fillId="67" borderId="47" xfId="204" applyFont="1" applyFill="1" applyBorder="1" applyAlignment="1">
      <alignment horizontal="center"/>
    </xf>
    <xf numFmtId="164" fontId="114" fillId="67" borderId="35" xfId="204" applyFont="1" applyFill="1" applyBorder="1" applyAlignment="1">
      <alignment horizontal="center"/>
    </xf>
    <xf numFmtId="164" fontId="114" fillId="70" borderId="49" xfId="204" applyFont="1" applyFill="1" applyBorder="1" applyAlignment="1">
      <alignment horizontal="center"/>
    </xf>
    <xf numFmtId="164" fontId="114" fillId="67" borderId="49" xfId="204" applyFont="1" applyFill="1" applyBorder="1" applyAlignment="1">
      <alignment horizontal="center"/>
    </xf>
    <xf numFmtId="164" fontId="24" fillId="0" borderId="35" xfId="204" applyFont="1" applyFill="1" applyBorder="1" applyAlignment="1">
      <alignment horizontal="center"/>
    </xf>
    <xf numFmtId="164" fontId="24" fillId="0" borderId="50" xfId="204" applyFont="1" applyFill="1" applyBorder="1" applyAlignment="1">
      <alignment horizontal="center"/>
    </xf>
    <xf numFmtId="164" fontId="24" fillId="27" borderId="50" xfId="204" applyFont="1" applyFill="1" applyBorder="1" applyAlignment="1">
      <alignment horizontal="center" wrapText="1"/>
    </xf>
    <xf numFmtId="164" fontId="24" fillId="27" borderId="49" xfId="204" applyFont="1" applyFill="1" applyBorder="1" applyAlignment="1">
      <alignment horizontal="center" wrapText="1"/>
    </xf>
    <xf numFmtId="164" fontId="24" fillId="27" borderId="35" xfId="204" applyFont="1" applyFill="1" applyBorder="1" applyAlignment="1">
      <alignment horizontal="center" wrapText="1"/>
    </xf>
    <xf numFmtId="164" fontId="23" fillId="67" borderId="34" xfId="204" applyFont="1" applyFill="1" applyBorder="1" applyAlignment="1">
      <alignment horizontal="center"/>
    </xf>
    <xf numFmtId="164" fontId="23" fillId="0" borderId="14" xfId="204" applyFont="1" applyFill="1" applyBorder="1" applyAlignment="1">
      <alignment horizontal="center" wrapText="1"/>
    </xf>
    <xf numFmtId="164" fontId="23" fillId="27" borderId="36" xfId="204" applyFont="1" applyFill="1" applyBorder="1" applyAlignment="1">
      <alignment horizontal="center" wrapText="1"/>
    </xf>
    <xf numFmtId="164" fontId="23" fillId="27" borderId="46" xfId="204" applyFont="1" applyFill="1" applyBorder="1" applyAlignment="1">
      <alignment horizontal="center" wrapText="1"/>
    </xf>
    <xf numFmtId="164" fontId="24" fillId="70" borderId="20" xfId="204" applyFont="1" applyFill="1" applyBorder="1" applyAlignment="1">
      <alignment horizontal="center"/>
    </xf>
    <xf numFmtId="164" fontId="23" fillId="68" borderId="15" xfId="204" applyFont="1" applyFill="1" applyBorder="1" applyAlignment="1">
      <alignment horizontal="center"/>
    </xf>
    <xf numFmtId="164" fontId="23" fillId="68" borderId="21" xfId="204" applyFont="1" applyFill="1" applyBorder="1" applyAlignment="1">
      <alignment horizontal="center"/>
    </xf>
    <xf numFmtId="164" fontId="24" fillId="25" borderId="33" xfId="204" applyFont="1" applyFill="1" applyBorder="1" applyAlignment="1">
      <alignment horizontal="center"/>
    </xf>
    <xf numFmtId="164" fontId="24" fillId="27" borderId="49" xfId="204" applyFont="1" applyFill="1" applyBorder="1" applyAlignment="1">
      <alignment horizontal="center"/>
    </xf>
    <xf numFmtId="164" fontId="24" fillId="25" borderId="32" xfId="204" applyFont="1" applyFill="1" applyBorder="1" applyAlignment="1">
      <alignment horizontal="center"/>
    </xf>
    <xf numFmtId="3" fontId="23" fillId="67" borderId="15" xfId="0" applyNumberFormat="1" applyFont="1" applyFill="1" applyBorder="1" applyAlignment="1">
      <alignment horizontal="center" vertical="center" wrapText="1"/>
    </xf>
    <xf numFmtId="0" fontId="23" fillId="67" borderId="15" xfId="0" quotePrefix="1" applyFont="1" applyFill="1" applyBorder="1" applyAlignment="1">
      <alignment horizontal="center" vertical="center" wrapText="1"/>
    </xf>
    <xf numFmtId="164" fontId="24" fillId="25" borderId="37" xfId="204" applyFont="1" applyFill="1" applyBorder="1" applyAlignment="1">
      <alignment horizontal="center"/>
    </xf>
    <xf numFmtId="0" fontId="23" fillId="67" borderId="12" xfId="0" quotePrefix="1" applyFont="1" applyFill="1" applyBorder="1" applyAlignment="1">
      <alignment horizontal="center" vertical="center" wrapText="1"/>
    </xf>
    <xf numFmtId="164" fontId="23" fillId="0" borderId="26" xfId="204" applyFont="1" applyFill="1" applyBorder="1" applyAlignment="1">
      <alignment horizontal="center" wrapText="1" shrinkToFit="1"/>
    </xf>
    <xf numFmtId="164" fontId="23" fillId="67" borderId="50" xfId="204" applyFont="1" applyFill="1" applyBorder="1" applyAlignment="1">
      <alignment horizontal="center"/>
    </xf>
    <xf numFmtId="164" fontId="114" fillId="25" borderId="49" xfId="204" applyFont="1" applyFill="1" applyBorder="1" applyAlignment="1">
      <alignment horizontal="center"/>
    </xf>
    <xf numFmtId="3" fontId="23" fillId="70" borderId="11" xfId="0" applyNumberFormat="1" applyFont="1" applyFill="1" applyBorder="1" applyAlignment="1">
      <alignment horizontal="center" vertical="center"/>
    </xf>
    <xf numFmtId="164" fontId="24" fillId="70" borderId="21" xfId="204" applyFont="1" applyFill="1" applyBorder="1" applyAlignment="1">
      <alignment horizontal="center" wrapText="1" shrinkToFit="1"/>
    </xf>
    <xf numFmtId="164" fontId="23" fillId="70" borderId="29" xfId="204" applyFont="1" applyFill="1" applyBorder="1" applyAlignment="1"/>
    <xf numFmtId="164" fontId="23" fillId="70" borderId="11" xfId="204" applyFont="1" applyFill="1" applyBorder="1" applyAlignment="1"/>
    <xf numFmtId="4" fontId="125" fillId="0" borderId="81" xfId="48" applyFont="1" applyBorder="1" applyAlignment="1" applyProtection="1">
      <alignment horizontal="right" wrapText="1" shrinkToFit="1"/>
    </xf>
    <xf numFmtId="164" fontId="113" fillId="0" borderId="38" xfId="204" applyFont="1" applyFill="1" applyBorder="1" applyAlignment="1">
      <alignment horizontal="right" shrinkToFit="1"/>
    </xf>
    <xf numFmtId="164" fontId="29" fillId="70" borderId="38" xfId="204" applyNumberFormat="1" applyFont="1" applyFill="1" applyBorder="1" applyAlignment="1">
      <alignment vertical="center"/>
    </xf>
    <xf numFmtId="164" fontId="29" fillId="0" borderId="0" xfId="204" applyFont="1" applyAlignment="1">
      <alignment vertical="center"/>
    </xf>
    <xf numFmtId="0" fontId="62" fillId="66" borderId="38" xfId="0" applyFont="1" applyFill="1" applyBorder="1" applyAlignment="1">
      <alignment horizontal="center" vertical="center" wrapText="1"/>
    </xf>
    <xf numFmtId="0" fontId="29" fillId="66" borderId="42" xfId="0" applyFont="1" applyFill="1" applyBorder="1" applyAlignment="1">
      <alignment horizontal="center" vertical="center" wrapText="1"/>
    </xf>
    <xf numFmtId="164" fontId="31" fillId="66" borderId="40" xfId="204" applyNumberFormat="1" applyFont="1" applyFill="1" applyBorder="1" applyAlignment="1">
      <alignment vertical="center" wrapText="1"/>
    </xf>
    <xf numFmtId="0" fontId="29" fillId="66" borderId="38" xfId="0" applyFont="1" applyFill="1" applyBorder="1" applyAlignment="1">
      <alignment horizontal="center" vertical="center" wrapText="1"/>
    </xf>
    <xf numFmtId="4" fontId="74" fillId="0" borderId="57" xfId="207" applyProtection="1">
      <alignment horizontal="right" vertical="top" shrinkToFit="1"/>
    </xf>
    <xf numFmtId="164" fontId="23" fillId="68" borderId="14" xfId="204" applyFont="1" applyFill="1" applyBorder="1" applyAlignment="1"/>
    <xf numFmtId="164" fontId="23" fillId="68" borderId="33" xfId="204" applyFont="1" applyFill="1" applyBorder="1" applyAlignment="1"/>
    <xf numFmtId="164" fontId="23" fillId="68" borderId="11" xfId="204" applyFont="1" applyFill="1" applyBorder="1" applyAlignment="1"/>
    <xf numFmtId="164" fontId="23" fillId="68" borderId="29" xfId="204" applyFont="1" applyFill="1" applyBorder="1" applyAlignment="1"/>
    <xf numFmtId="0" fontId="23" fillId="67" borderId="14" xfId="0" applyFont="1" applyFill="1" applyBorder="1" applyAlignment="1">
      <alignment horizontal="center" vertical="center"/>
    </xf>
    <xf numFmtId="164" fontId="114" fillId="27" borderId="21" xfId="204" applyFont="1" applyFill="1" applyBorder="1" applyAlignment="1">
      <alignment horizontal="center"/>
    </xf>
    <xf numFmtId="164" fontId="114" fillId="27" borderId="25" xfId="204" applyFont="1" applyFill="1" applyBorder="1" applyAlignment="1">
      <alignment horizontal="center"/>
    </xf>
    <xf numFmtId="164" fontId="114" fillId="0" borderId="21" xfId="204" applyFont="1" applyFill="1" applyBorder="1" applyAlignment="1">
      <alignment horizontal="center"/>
    </xf>
    <xf numFmtId="164" fontId="114" fillId="0" borderId="25" xfId="204" applyFont="1" applyFill="1" applyBorder="1" applyAlignment="1">
      <alignment horizontal="center"/>
    </xf>
    <xf numFmtId="164" fontId="114" fillId="27" borderId="20" xfId="204" applyFont="1" applyFill="1" applyBorder="1" applyAlignment="1">
      <alignment horizontal="center"/>
    </xf>
    <xf numFmtId="164" fontId="114" fillId="27" borderId="27" xfId="204" applyFont="1" applyFill="1" applyBorder="1" applyAlignment="1">
      <alignment horizontal="center"/>
    </xf>
    <xf numFmtId="164" fontId="114" fillId="0" borderId="20" xfId="204" applyFont="1" applyFill="1" applyBorder="1" applyAlignment="1">
      <alignment horizontal="center"/>
    </xf>
    <xf numFmtId="164" fontId="114" fillId="0" borderId="27" xfId="204" applyFont="1" applyFill="1" applyBorder="1" applyAlignment="1">
      <alignment horizontal="center"/>
    </xf>
    <xf numFmtId="164" fontId="31" fillId="0" borderId="42" xfId="204" applyFont="1" applyFill="1" applyBorder="1" applyAlignment="1">
      <alignment horizontal="center" vertical="center"/>
    </xf>
    <xf numFmtId="164" fontId="23" fillId="70" borderId="23" xfId="204" applyFont="1" applyFill="1" applyBorder="1" applyAlignment="1">
      <alignment horizontal="center" wrapText="1" shrinkToFit="1"/>
    </xf>
    <xf numFmtId="164" fontId="23" fillId="70" borderId="28" xfId="204" applyFont="1" applyFill="1" applyBorder="1" applyAlignment="1">
      <alignment horizontal="center" wrapText="1" shrinkToFit="1"/>
    </xf>
    <xf numFmtId="164" fontId="23" fillId="67" borderId="21" xfId="204" applyFont="1" applyFill="1" applyBorder="1" applyAlignment="1">
      <alignment horizontal="center" wrapText="1" shrinkToFit="1"/>
    </xf>
    <xf numFmtId="164" fontId="23" fillId="67" borderId="25" xfId="204" applyFont="1" applyFill="1" applyBorder="1" applyAlignment="1">
      <alignment horizontal="center" wrapText="1" shrinkToFit="1"/>
    </xf>
    <xf numFmtId="164" fontId="23" fillId="70" borderId="44" xfId="204" applyFont="1" applyFill="1" applyBorder="1" applyAlignment="1"/>
    <xf numFmtId="164" fontId="24" fillId="70" borderId="25" xfId="204" applyFont="1" applyFill="1" applyBorder="1" applyAlignment="1">
      <alignment horizontal="center" wrapText="1" shrinkToFit="1"/>
    </xf>
    <xf numFmtId="164" fontId="31" fillId="0" borderId="38" xfId="0" applyNumberFormat="1" applyFont="1" applyBorder="1" applyAlignment="1">
      <alignment horizontal="center" vertical="center" wrapText="1"/>
    </xf>
    <xf numFmtId="0" fontId="32" fillId="0" borderId="38" xfId="0" applyNumberFormat="1" applyFont="1" applyBorder="1" applyAlignment="1">
      <alignment horizontal="left" vertical="center" wrapText="1"/>
    </xf>
    <xf numFmtId="164" fontId="29" fillId="0" borderId="38" xfId="204" applyNumberFormat="1" applyFont="1" applyBorder="1" applyAlignment="1">
      <alignment horizontal="center" vertical="center" wrapText="1"/>
    </xf>
    <xf numFmtId="164" fontId="23" fillId="67" borderId="27" xfId="204" applyFont="1" applyFill="1" applyBorder="1" applyAlignment="1">
      <alignment horizontal="center"/>
    </xf>
    <xf numFmtId="49" fontId="32" fillId="0" borderId="38" xfId="0" applyNumberFormat="1" applyFont="1" applyBorder="1" applyAlignment="1">
      <alignment horizontal="center" vertical="center" wrapText="1"/>
    </xf>
    <xf numFmtId="164" fontId="114" fillId="25" borderId="25" xfId="204" applyFont="1" applyFill="1" applyBorder="1" applyAlignment="1">
      <alignment horizontal="center"/>
    </xf>
    <xf numFmtId="164" fontId="24" fillId="68" borderId="25" xfId="204" applyFont="1" applyFill="1" applyBorder="1" applyAlignment="1">
      <alignment horizontal="center"/>
    </xf>
    <xf numFmtId="0" fontId="23" fillId="0" borderId="38" xfId="0" applyFont="1" applyFill="1" applyBorder="1" applyAlignment="1">
      <alignment horizontal="center" vertical="center"/>
    </xf>
    <xf numFmtId="4" fontId="118" fillId="0" borderId="0" xfId="101" applyNumberFormat="1" applyFont="1" applyBorder="1" applyAlignment="1" applyProtection="1">
      <alignment horizontal="right" vertical="top" shrinkToFit="1"/>
    </xf>
    <xf numFmtId="4" fontId="121" fillId="0" borderId="0" xfId="125" applyNumberFormat="1" applyFont="1" applyBorder="1" applyAlignment="1" applyProtection="1">
      <alignment horizontal="right" vertical="top" shrinkToFit="1"/>
    </xf>
    <xf numFmtId="4" fontId="122" fillId="0" borderId="0" xfId="101" applyNumberFormat="1" applyFont="1" applyBorder="1" applyAlignment="1" applyProtection="1">
      <alignment horizontal="right" vertical="top" shrinkToFit="1"/>
    </xf>
    <xf numFmtId="4" fontId="119" fillId="0" borderId="0" xfId="116" applyNumberFormat="1" applyFont="1" applyBorder="1" applyAlignment="1" applyProtection="1">
      <alignment horizontal="right" vertical="top" shrinkToFit="1"/>
    </xf>
    <xf numFmtId="4" fontId="123" fillId="0" borderId="0" xfId="41" applyNumberFormat="1" applyFont="1" applyBorder="1" applyProtection="1">
      <alignment horizontal="right" vertical="top" shrinkToFit="1"/>
    </xf>
    <xf numFmtId="4" fontId="125" fillId="0" borderId="38" xfId="41" applyNumberFormat="1" applyFont="1" applyBorder="1" applyProtection="1">
      <alignment horizontal="right" vertical="top" shrinkToFit="1"/>
    </xf>
    <xf numFmtId="4" fontId="128" fillId="0" borderId="38" xfId="116" applyNumberFormat="1" applyFont="1" applyBorder="1" applyAlignment="1" applyProtection="1">
      <alignment horizontal="right" vertical="top" shrinkToFit="1"/>
    </xf>
    <xf numFmtId="4" fontId="125" fillId="0" borderId="0" xfId="41" applyNumberFormat="1" applyFont="1" applyBorder="1" applyProtection="1">
      <alignment horizontal="right" vertical="top" shrinkToFit="1"/>
    </xf>
    <xf numFmtId="4" fontId="125" fillId="0" borderId="42" xfId="41" applyNumberFormat="1" applyFont="1" applyBorder="1" applyProtection="1">
      <alignment horizontal="right" vertical="top" shrinkToFit="1"/>
    </xf>
    <xf numFmtId="0" fontId="23" fillId="0" borderId="38" xfId="0" applyFont="1" applyFill="1" applyBorder="1" applyAlignment="1">
      <alignment horizontal="center" vertical="center"/>
    </xf>
    <xf numFmtId="164" fontId="24" fillId="0" borderId="38" xfId="204" applyNumberFormat="1" applyFont="1" applyFill="1" applyBorder="1" applyAlignment="1">
      <alignment horizontal="center" vertical="center"/>
    </xf>
    <xf numFmtId="164" fontId="24" fillId="0" borderId="38" xfId="0" applyNumberFormat="1" applyFont="1" applyFill="1" applyBorder="1" applyAlignment="1">
      <alignment vertical="center"/>
    </xf>
    <xf numFmtId="164" fontId="24" fillId="0" borderId="38" xfId="0" applyNumberFormat="1" applyFont="1" applyFill="1" applyBorder="1" applyAlignment="1">
      <alignment horizontal="center" vertical="center"/>
    </xf>
    <xf numFmtId="0" fontId="23" fillId="0" borderId="38" xfId="0" applyFont="1" applyFill="1" applyBorder="1" applyAlignment="1">
      <alignment vertical="center"/>
    </xf>
    <xf numFmtId="0" fontId="0" fillId="0" borderId="0" xfId="0" applyAlignment="1">
      <alignment vertical="center"/>
    </xf>
    <xf numFmtId="164" fontId="24" fillId="0" borderId="0" xfId="204" applyFont="1" applyFill="1" applyBorder="1" applyAlignment="1">
      <alignment horizontal="center" vertical="center"/>
    </xf>
    <xf numFmtId="164" fontId="24" fillId="68" borderId="0" xfId="0" applyNumberFormat="1" applyFont="1" applyFill="1" applyAlignment="1">
      <alignment vertical="center"/>
    </xf>
    <xf numFmtId="166" fontId="130" fillId="0" borderId="0" xfId="204" applyNumberFormat="1" applyFont="1" applyFill="1"/>
    <xf numFmtId="0" fontId="131" fillId="0" borderId="0" xfId="0" applyFont="1" applyFill="1"/>
    <xf numFmtId="0" fontId="23" fillId="0" borderId="12" xfId="0" applyFont="1" applyFill="1" applyBorder="1" applyAlignment="1">
      <alignment horizontal="center" vertical="center" wrapText="1"/>
    </xf>
    <xf numFmtId="0" fontId="23" fillId="0" borderId="11" xfId="0" applyFont="1" applyFill="1" applyBorder="1" applyAlignment="1">
      <alignment horizontal="center" vertical="center" wrapText="1"/>
    </xf>
    <xf numFmtId="164" fontId="117" fillId="70" borderId="38" xfId="204" applyFont="1" applyFill="1" applyBorder="1" applyAlignment="1">
      <alignment horizontal="center" vertical="center" wrapText="1"/>
    </xf>
    <xf numFmtId="0" fontId="120" fillId="0" borderId="0" xfId="0" applyFont="1"/>
    <xf numFmtId="0" fontId="133" fillId="0" borderId="0" xfId="0" applyFont="1"/>
    <xf numFmtId="164" fontId="24" fillId="67" borderId="28" xfId="204" applyFont="1" applyFill="1" applyBorder="1" applyAlignment="1">
      <alignment horizontal="center"/>
    </xf>
    <xf numFmtId="164" fontId="24" fillId="67" borderId="33" xfId="204" applyFont="1" applyFill="1" applyBorder="1" applyAlignment="1">
      <alignment horizontal="center" wrapText="1" shrinkToFit="1"/>
    </xf>
    <xf numFmtId="164" fontId="23" fillId="0" borderId="29" xfId="204" applyFont="1" applyFill="1" applyBorder="1" applyAlignment="1">
      <alignment horizontal="center" wrapText="1"/>
    </xf>
    <xf numFmtId="164" fontId="23" fillId="0" borderId="30" xfId="204" applyFont="1" applyFill="1" applyBorder="1" applyAlignment="1">
      <alignment horizontal="center" wrapText="1"/>
    </xf>
    <xf numFmtId="164" fontId="23" fillId="27" borderId="29" xfId="204" applyFont="1" applyFill="1" applyBorder="1" applyAlignment="1">
      <alignment horizontal="center" wrapText="1"/>
    </xf>
    <xf numFmtId="164" fontId="23" fillId="27" borderId="30" xfId="204" applyFont="1" applyFill="1" applyBorder="1" applyAlignment="1">
      <alignment horizontal="center" wrapText="1"/>
    </xf>
    <xf numFmtId="164" fontId="23" fillId="25" borderId="30" xfId="204" applyFont="1" applyFill="1" applyBorder="1" applyAlignment="1">
      <alignment horizontal="center" wrapText="1"/>
    </xf>
    <xf numFmtId="164" fontId="23" fillId="25" borderId="29" xfId="204" applyFont="1" applyFill="1" applyBorder="1" applyAlignment="1">
      <alignment horizontal="center" wrapText="1"/>
    </xf>
    <xf numFmtId="164" fontId="23" fillId="0" borderId="44" xfId="204" applyFont="1" applyFill="1" applyBorder="1" applyAlignment="1">
      <alignment horizontal="center" wrapText="1"/>
    </xf>
    <xf numFmtId="164" fontId="23" fillId="27" borderId="44" xfId="204" applyFont="1" applyFill="1" applyBorder="1" applyAlignment="1">
      <alignment horizontal="center" wrapText="1"/>
    </xf>
    <xf numFmtId="164" fontId="24" fillId="27" borderId="25" xfId="204" applyFont="1" applyFill="1" applyBorder="1" applyAlignment="1">
      <alignment horizontal="center" wrapText="1"/>
    </xf>
    <xf numFmtId="164" fontId="24" fillId="27" borderId="26" xfId="204" applyFont="1" applyFill="1" applyBorder="1" applyAlignment="1">
      <alignment horizontal="center" wrapText="1"/>
    </xf>
    <xf numFmtId="164" fontId="23" fillId="25" borderId="26" xfId="204" applyFont="1" applyFill="1" applyBorder="1" applyAlignment="1">
      <alignment horizontal="center" wrapText="1" shrinkToFit="1"/>
    </xf>
    <xf numFmtId="164" fontId="23" fillId="25" borderId="25" xfId="204" applyFont="1" applyFill="1" applyBorder="1" applyAlignment="1">
      <alignment horizontal="center" wrapText="1" shrinkToFit="1"/>
    </xf>
    <xf numFmtId="164" fontId="24" fillId="0" borderId="25" xfId="204" applyFont="1" applyFill="1" applyBorder="1" applyAlignment="1">
      <alignment horizontal="center" wrapText="1"/>
    </xf>
    <xf numFmtId="164" fontId="23" fillId="0" borderId="24" xfId="204" applyFont="1" applyFill="1" applyBorder="1" applyAlignment="1">
      <alignment horizontal="center" wrapText="1"/>
    </xf>
    <xf numFmtId="164" fontId="23" fillId="27" borderId="24" xfId="204" applyFont="1" applyFill="1" applyBorder="1" applyAlignment="1">
      <alignment horizontal="center" wrapText="1"/>
    </xf>
    <xf numFmtId="4" fontId="125" fillId="0" borderId="65" xfId="48" applyFont="1" applyBorder="1" applyAlignment="1" applyProtection="1">
      <alignment horizontal="right" wrapText="1" shrinkToFit="1"/>
    </xf>
    <xf numFmtId="164" fontId="24" fillId="68" borderId="25" xfId="204" applyFont="1" applyFill="1" applyBorder="1" applyAlignment="1">
      <alignment horizontal="center" wrapText="1"/>
    </xf>
    <xf numFmtId="4" fontId="125" fillId="0" borderId="22" xfId="48" applyFont="1" applyBorder="1" applyAlignment="1" applyProtection="1">
      <alignment horizontal="right" wrapText="1" shrinkToFit="1"/>
    </xf>
    <xf numFmtId="4" fontId="125" fillId="0" borderId="26" xfId="48" applyFont="1" applyBorder="1" applyAlignment="1" applyProtection="1">
      <alignment horizontal="right" wrapText="1" shrinkToFit="1"/>
    </xf>
    <xf numFmtId="0" fontId="23" fillId="0" borderId="15" xfId="0" applyFont="1" applyFill="1" applyBorder="1" applyAlignment="1">
      <alignment horizontal="center" vertical="center" wrapText="1"/>
    </xf>
    <xf numFmtId="0" fontId="29" fillId="0" borderId="38" xfId="0" applyFont="1" applyFill="1" applyBorder="1" applyAlignment="1">
      <alignment horizontal="center" vertical="center"/>
    </xf>
    <xf numFmtId="164" fontId="24" fillId="67" borderId="27" xfId="204" applyFont="1" applyFill="1" applyBorder="1" applyAlignment="1">
      <alignment horizontal="center"/>
    </xf>
    <xf numFmtId="0" fontId="4" fillId="67" borderId="15" xfId="0" applyFont="1" applyFill="1" applyBorder="1" applyAlignment="1">
      <alignment horizontal="center" vertical="center" wrapText="1"/>
    </xf>
    <xf numFmtId="164" fontId="24" fillId="25" borderId="29" xfId="204" applyFont="1" applyFill="1" applyBorder="1" applyAlignment="1">
      <alignment horizontal="center"/>
    </xf>
    <xf numFmtId="0" fontId="23" fillId="0" borderId="12" xfId="0" applyFont="1" applyFill="1" applyBorder="1" applyAlignment="1">
      <alignment vertical="center" wrapText="1"/>
    </xf>
    <xf numFmtId="0" fontId="23" fillId="0" borderId="43" xfId="0" applyFont="1" applyFill="1" applyBorder="1" applyAlignment="1">
      <alignment vertical="center" wrapText="1"/>
    </xf>
    <xf numFmtId="0" fontId="23" fillId="0" borderId="30" xfId="0" applyFont="1" applyFill="1" applyBorder="1" applyAlignment="1">
      <alignment vertical="center" wrapText="1"/>
    </xf>
    <xf numFmtId="0" fontId="23" fillId="0" borderId="44" xfId="0" applyFont="1" applyFill="1" applyBorder="1" applyAlignment="1">
      <alignment vertical="center" wrapText="1"/>
    </xf>
    <xf numFmtId="4" fontId="128" fillId="0" borderId="62" xfId="116" applyNumberFormat="1" applyFont="1" applyBorder="1" applyAlignment="1" applyProtection="1">
      <alignment horizontal="right" vertical="top" shrinkToFit="1"/>
    </xf>
    <xf numFmtId="4" fontId="128" fillId="0" borderId="42" xfId="116" applyNumberFormat="1" applyFont="1" applyBorder="1" applyAlignment="1" applyProtection="1">
      <alignment horizontal="right" vertical="top" shrinkToFit="1"/>
    </xf>
    <xf numFmtId="4" fontId="128" fillId="0" borderId="80" xfId="116" applyNumberFormat="1" applyFont="1" applyBorder="1" applyAlignment="1" applyProtection="1">
      <alignment horizontal="right" vertical="top" shrinkToFit="1"/>
    </xf>
    <xf numFmtId="164" fontId="7" fillId="0" borderId="38" xfId="204" applyNumberFormat="1" applyFont="1" applyFill="1" applyBorder="1" applyAlignment="1">
      <alignment vertical="center"/>
    </xf>
    <xf numFmtId="49" fontId="32" fillId="0" borderId="38" xfId="0" applyNumberFormat="1" applyFont="1" applyBorder="1" applyAlignment="1">
      <alignment horizontal="center" vertical="center" wrapText="1"/>
    </xf>
    <xf numFmtId="164" fontId="30" fillId="0" borderId="38" xfId="204" applyFont="1" applyFill="1" applyBorder="1" applyAlignment="1">
      <alignment horizontal="center" wrapText="1" shrinkToFit="1"/>
    </xf>
    <xf numFmtId="164" fontId="20" fillId="0" borderId="38" xfId="204" applyFont="1" applyFill="1" applyBorder="1" applyAlignment="1">
      <alignment horizontal="center" shrinkToFit="1"/>
    </xf>
    <xf numFmtId="164" fontId="20" fillId="0" borderId="38" xfId="204" applyFont="1" applyBorder="1" applyAlignment="1">
      <alignment horizontal="center" wrapText="1" shrinkToFit="1"/>
    </xf>
    <xf numFmtId="164" fontId="20" fillId="0" borderId="38" xfId="204" applyFont="1" applyBorder="1" applyAlignment="1">
      <alignment horizontal="center" shrinkToFit="1"/>
    </xf>
    <xf numFmtId="164" fontId="20" fillId="0" borderId="40" xfId="204" applyFont="1" applyFill="1" applyBorder="1" applyAlignment="1">
      <alignment horizontal="center"/>
    </xf>
    <xf numFmtId="164" fontId="65" fillId="0" borderId="38" xfId="204" applyFont="1" applyBorder="1" applyAlignment="1">
      <alignment horizontal="center"/>
    </xf>
    <xf numFmtId="49" fontId="32" fillId="0" borderId="38" xfId="0" applyNumberFormat="1" applyFont="1" applyBorder="1" applyAlignment="1">
      <alignment horizontal="center" vertical="center" wrapText="1"/>
    </xf>
    <xf numFmtId="0" fontId="23" fillId="25" borderId="36" xfId="0" applyFont="1" applyFill="1" applyBorder="1" applyAlignment="1">
      <alignment horizontal="center" vertical="center" wrapText="1"/>
    </xf>
    <xf numFmtId="164" fontId="23" fillId="70" borderId="37" xfId="204" applyFont="1" applyFill="1" applyBorder="1" applyAlignment="1">
      <alignment horizontal="center"/>
    </xf>
    <xf numFmtId="3" fontId="23" fillId="70" borderId="34" xfId="0" applyNumberFormat="1" applyFont="1" applyFill="1" applyBorder="1" applyAlignment="1">
      <alignment horizontal="center" vertical="center" wrapText="1"/>
    </xf>
    <xf numFmtId="164" fontId="31" fillId="0" borderId="40" xfId="204" applyNumberFormat="1" applyFont="1" applyFill="1" applyBorder="1" applyAlignment="1">
      <alignment horizontal="center" vertical="center"/>
    </xf>
    <xf numFmtId="49" fontId="32" fillId="0" borderId="38" xfId="0" applyNumberFormat="1" applyFont="1" applyBorder="1" applyAlignment="1">
      <alignment horizontal="center" vertical="center" wrapText="1"/>
    </xf>
    <xf numFmtId="164" fontId="114" fillId="67" borderId="29" xfId="204" applyFont="1" applyFill="1" applyBorder="1" applyAlignment="1">
      <alignment horizontal="center"/>
    </xf>
    <xf numFmtId="164" fontId="114" fillId="70" borderId="44" xfId="204" applyFont="1" applyFill="1" applyBorder="1" applyAlignment="1">
      <alignment horizontal="center"/>
    </xf>
    <xf numFmtId="164" fontId="31" fillId="0" borderId="38" xfId="0" applyNumberFormat="1" applyFont="1" applyFill="1" applyBorder="1" applyAlignment="1">
      <alignment horizontal="center" vertical="center" wrapText="1"/>
    </xf>
    <xf numFmtId="0" fontId="23" fillId="27" borderId="36" xfId="0" applyFont="1" applyFill="1" applyBorder="1" applyAlignment="1">
      <alignment horizontal="center" vertical="center" wrapText="1"/>
    </xf>
    <xf numFmtId="0" fontId="23" fillId="27" borderId="34" xfId="0" applyFont="1" applyFill="1" applyBorder="1" applyAlignment="1">
      <alignment horizontal="center" vertical="center" wrapText="1"/>
    </xf>
    <xf numFmtId="0" fontId="0" fillId="0" borderId="45" xfId="0" applyBorder="1"/>
    <xf numFmtId="0" fontId="4" fillId="0" borderId="0" xfId="0" applyFont="1" applyFill="1"/>
    <xf numFmtId="0" fontId="17" fillId="70" borderId="14" xfId="0" applyFont="1" applyFill="1" applyBorder="1" applyAlignment="1">
      <alignment horizontal="center" vertical="center"/>
    </xf>
    <xf numFmtId="49" fontId="32" fillId="0" borderId="38" xfId="0" applyNumberFormat="1" applyFont="1" applyBorder="1" applyAlignment="1">
      <alignment horizontal="center" vertical="center" wrapText="1"/>
    </xf>
    <xf numFmtId="0" fontId="23" fillId="27" borderId="15" xfId="0" applyFont="1" applyFill="1" applyBorder="1" applyAlignment="1">
      <alignment horizontal="center" vertical="center" wrapText="1"/>
    </xf>
    <xf numFmtId="0" fontId="23" fillId="0" borderId="0" xfId="0" applyFont="1" applyFill="1" applyBorder="1" applyAlignment="1">
      <alignment horizontal="center" vertical="center" wrapText="1"/>
    </xf>
    <xf numFmtId="49" fontId="32" fillId="0" borderId="38" xfId="0" applyNumberFormat="1" applyFont="1" applyBorder="1" applyAlignment="1">
      <alignment horizontal="center" vertical="center" wrapText="1"/>
    </xf>
    <xf numFmtId="165" fontId="12" fillId="0" borderId="0" xfId="0" applyNumberFormat="1" applyFont="1" applyAlignment="1">
      <alignment horizontal="center" vertical="center"/>
    </xf>
    <xf numFmtId="0" fontId="3" fillId="0" borderId="0" xfId="0" applyFont="1" applyAlignment="1">
      <alignment horizontal="center" vertical="center"/>
    </xf>
    <xf numFmtId="164" fontId="11" fillId="0" borderId="0" xfId="0" applyNumberFormat="1" applyFont="1" applyFill="1" applyAlignment="1">
      <alignment vertical="center"/>
    </xf>
    <xf numFmtId="49" fontId="134" fillId="70" borderId="38" xfId="0" applyNumberFormat="1" applyFont="1" applyFill="1" applyBorder="1" applyAlignment="1">
      <alignment horizontal="center" vertical="center" wrapText="1"/>
    </xf>
    <xf numFmtId="0" fontId="62" fillId="70" borderId="38" xfId="0" applyFont="1" applyFill="1" applyBorder="1" applyAlignment="1">
      <alignment horizontal="center" vertical="center" wrapText="1"/>
    </xf>
    <xf numFmtId="165" fontId="61" fillId="0" borderId="0" xfId="204" applyNumberFormat="1" applyFont="1" applyAlignment="1">
      <alignment horizontal="center" vertical="center" wrapText="1"/>
    </xf>
    <xf numFmtId="164" fontId="114" fillId="70" borderId="21" xfId="204" applyFont="1" applyFill="1" applyBorder="1" applyAlignment="1">
      <alignment horizontal="center" wrapText="1" shrinkToFit="1"/>
    </xf>
    <xf numFmtId="164" fontId="114" fillId="70" borderId="25" xfId="204" applyFont="1" applyFill="1" applyBorder="1" applyAlignment="1">
      <alignment horizontal="center" wrapText="1" shrinkToFit="1"/>
    </xf>
    <xf numFmtId="0" fontId="17" fillId="70" borderId="11" xfId="0" applyFont="1" applyFill="1" applyBorder="1" applyAlignment="1">
      <alignment horizontal="center" vertical="center"/>
    </xf>
    <xf numFmtId="49" fontId="32" fillId="0" borderId="41" xfId="0" applyNumberFormat="1" applyFont="1" applyFill="1" applyBorder="1" applyAlignment="1">
      <alignment horizontal="center" vertical="center" wrapText="1"/>
    </xf>
    <xf numFmtId="4" fontId="116" fillId="0" borderId="38" xfId="40" applyFont="1" applyFill="1" applyBorder="1" applyProtection="1">
      <alignment horizontal="right" shrinkToFit="1"/>
    </xf>
    <xf numFmtId="49" fontId="32" fillId="72" borderId="41" xfId="0" applyNumberFormat="1" applyFont="1" applyFill="1" applyBorder="1" applyAlignment="1">
      <alignment horizontal="center" vertical="center" wrapText="1"/>
    </xf>
    <xf numFmtId="3" fontId="23" fillId="70" borderId="14" xfId="0" applyNumberFormat="1" applyFont="1" applyFill="1" applyBorder="1" applyAlignment="1">
      <alignment horizontal="center" vertical="center" wrapText="1"/>
    </xf>
    <xf numFmtId="49" fontId="32" fillId="71" borderId="41" xfId="0" applyNumberFormat="1" applyFont="1" applyFill="1" applyBorder="1" applyAlignment="1">
      <alignment horizontal="center" vertical="center" wrapText="1"/>
    </xf>
    <xf numFmtId="164" fontId="23" fillId="25" borderId="27" xfId="204" applyFont="1" applyFill="1" applyBorder="1" applyAlignment="1">
      <alignment horizontal="center"/>
    </xf>
    <xf numFmtId="0" fontId="23" fillId="0" borderId="11" xfId="0" applyFont="1" applyFill="1" applyBorder="1" applyAlignment="1">
      <alignment horizontal="center" vertical="center" wrapText="1"/>
    </xf>
    <xf numFmtId="0" fontId="4" fillId="0" borderId="34" xfId="0" applyFont="1" applyBorder="1" applyAlignment="1"/>
    <xf numFmtId="0" fontId="4" fillId="0" borderId="46" xfId="0" applyFont="1" applyBorder="1" applyAlignment="1"/>
    <xf numFmtId="164" fontId="23" fillId="70" borderId="13" xfId="204" applyFont="1" applyFill="1" applyBorder="1" applyAlignment="1">
      <alignment horizontal="center"/>
    </xf>
    <xf numFmtId="164" fontId="23" fillId="0" borderId="45" xfId="0" applyNumberFormat="1" applyFont="1" applyFill="1" applyBorder="1" applyAlignment="1">
      <alignment vertical="center"/>
    </xf>
    <xf numFmtId="166" fontId="7" fillId="0" borderId="38" xfId="204" applyNumberFormat="1" applyFont="1" applyBorder="1" applyAlignment="1">
      <alignment horizontal="center" vertical="center"/>
    </xf>
    <xf numFmtId="164" fontId="126" fillId="0" borderId="58" xfId="204" applyFont="1" applyFill="1" applyBorder="1" applyAlignment="1" applyProtection="1">
      <alignment horizontal="right" vertical="center" shrinkToFit="1"/>
    </xf>
    <xf numFmtId="164" fontId="120" fillId="0" borderId="0" xfId="0" applyNumberFormat="1" applyFont="1" applyFill="1" applyAlignment="1">
      <alignment horizontal="center"/>
    </xf>
    <xf numFmtId="0" fontId="5" fillId="0" borderId="38" xfId="0" applyFont="1" applyFill="1" applyBorder="1" applyAlignment="1">
      <alignment horizontal="center" vertical="center"/>
    </xf>
    <xf numFmtId="0" fontId="23" fillId="0" borderId="0" xfId="0" applyFont="1" applyFill="1" applyAlignment="1">
      <alignment horizontal="center" vertical="center"/>
    </xf>
    <xf numFmtId="0" fontId="8" fillId="27" borderId="34" xfId="0" applyFont="1" applyFill="1" applyBorder="1" applyAlignment="1">
      <alignment horizontal="center" vertical="center" wrapText="1"/>
    </xf>
    <xf numFmtId="0" fontId="8" fillId="27" borderId="46"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27" borderId="36" xfId="0" applyFont="1" applyFill="1" applyBorder="1" applyAlignment="1">
      <alignment horizontal="center" vertical="center" wrapText="1"/>
    </xf>
    <xf numFmtId="49" fontId="32" fillId="0" borderId="38" xfId="0" applyNumberFormat="1" applyFont="1" applyBorder="1" applyAlignment="1">
      <alignment horizontal="center" vertical="center" wrapText="1"/>
    </xf>
    <xf numFmtId="0" fontId="23" fillId="0" borderId="0" xfId="0" applyFont="1" applyFill="1" applyAlignment="1">
      <alignment horizontal="center" vertical="center"/>
    </xf>
    <xf numFmtId="49" fontId="32" fillId="0" borderId="38" xfId="0" applyNumberFormat="1" applyFont="1" applyBorder="1" applyAlignment="1">
      <alignment horizontal="center" vertical="center" wrapText="1"/>
    </xf>
    <xf numFmtId="164" fontId="21" fillId="0" borderId="49" xfId="204" applyNumberFormat="1" applyFont="1" applyFill="1" applyBorder="1" applyAlignment="1">
      <alignment horizontal="center"/>
    </xf>
    <xf numFmtId="164" fontId="24" fillId="0" borderId="28" xfId="204" applyFont="1" applyFill="1" applyBorder="1" applyAlignment="1">
      <alignment horizontal="center" wrapText="1" shrinkToFit="1"/>
    </xf>
    <xf numFmtId="164" fontId="24" fillId="27" borderId="27" xfId="204" applyFont="1" applyFill="1" applyBorder="1" applyAlignment="1">
      <alignment horizontal="center" wrapText="1"/>
    </xf>
    <xf numFmtId="0" fontId="0" fillId="0" borderId="0" xfId="0" applyBorder="1" applyAlignment="1">
      <alignment wrapText="1"/>
    </xf>
    <xf numFmtId="0" fontId="23" fillId="0" borderId="0" xfId="0" applyFont="1" applyFill="1" applyBorder="1" applyAlignment="1">
      <alignment horizontal="center"/>
    </xf>
    <xf numFmtId="164" fontId="24" fillId="67" borderId="27" xfId="204" applyFont="1" applyFill="1" applyBorder="1" applyAlignment="1">
      <alignment horizontal="center" wrapText="1" shrinkToFit="1"/>
    </xf>
    <xf numFmtId="164" fontId="24" fillId="67" borderId="23" xfId="204" applyFont="1" applyFill="1" applyBorder="1" applyAlignment="1">
      <alignment horizontal="center" wrapText="1" shrinkToFit="1"/>
    </xf>
    <xf numFmtId="0" fontId="23" fillId="25" borderId="11" xfId="0" applyFont="1" applyFill="1" applyBorder="1" applyAlignment="1">
      <alignment horizontal="center" vertical="center"/>
    </xf>
    <xf numFmtId="0" fontId="23" fillId="0" borderId="15" xfId="0" applyFont="1" applyFill="1" applyBorder="1" applyAlignment="1">
      <alignment horizontal="center" vertical="center" wrapText="1"/>
    </xf>
    <xf numFmtId="164" fontId="23" fillId="0" borderId="25" xfId="204" applyFont="1" applyFill="1" applyBorder="1" applyAlignment="1">
      <alignment horizontal="center" wrapText="1" shrinkToFit="1"/>
    </xf>
    <xf numFmtId="164" fontId="114" fillId="0" borderId="0" xfId="0" applyNumberFormat="1" applyFont="1" applyAlignment="1">
      <alignment horizontal="center" vertical="center"/>
    </xf>
    <xf numFmtId="0" fontId="23" fillId="0" borderId="46" xfId="0" applyFont="1" applyFill="1" applyBorder="1" applyAlignment="1">
      <alignment vertical="center"/>
    </xf>
    <xf numFmtId="0" fontId="23" fillId="0" borderId="34" xfId="0" applyFont="1" applyFill="1" applyBorder="1" applyAlignment="1">
      <alignment vertical="center"/>
    </xf>
    <xf numFmtId="0" fontId="23" fillId="0" borderId="36" xfId="0" applyFont="1" applyFill="1" applyBorder="1" applyAlignment="1">
      <alignment vertical="center"/>
    </xf>
    <xf numFmtId="166" fontId="114" fillId="0" borderId="38" xfId="0" applyNumberFormat="1" applyFont="1" applyFill="1" applyBorder="1" applyAlignment="1">
      <alignment vertical="center"/>
    </xf>
    <xf numFmtId="171" fontId="20" fillId="0" borderId="38" xfId="0" applyNumberFormat="1" applyFont="1" applyFill="1" applyBorder="1" applyAlignment="1">
      <alignment horizontal="center"/>
    </xf>
    <xf numFmtId="171" fontId="20" fillId="0" borderId="38" xfId="204" applyNumberFormat="1" applyFont="1" applyFill="1" applyBorder="1" applyAlignment="1">
      <alignment horizontal="center"/>
    </xf>
    <xf numFmtId="0" fontId="29" fillId="0" borderId="0" xfId="0" applyFont="1" applyFill="1" applyAlignment="1">
      <alignment horizontal="right"/>
    </xf>
    <xf numFmtId="172" fontId="30" fillId="67" borderId="38" xfId="0" applyNumberFormat="1" applyFont="1" applyFill="1" applyBorder="1"/>
    <xf numFmtId="172" fontId="30" fillId="0" borderId="38" xfId="204" applyNumberFormat="1" applyFont="1" applyFill="1" applyBorder="1"/>
    <xf numFmtId="172" fontId="0" fillId="0" borderId="0" xfId="0" applyNumberFormat="1" applyFill="1"/>
    <xf numFmtId="0" fontId="34" fillId="0" borderId="0" xfId="0" applyFont="1" applyFill="1"/>
    <xf numFmtId="172" fontId="34" fillId="67" borderId="0" xfId="0" applyNumberFormat="1" applyFont="1" applyFill="1"/>
    <xf numFmtId="172" fontId="34" fillId="0" borderId="0" xfId="0" applyNumberFormat="1" applyFont="1" applyFill="1"/>
    <xf numFmtId="172" fontId="30" fillId="0" borderId="38" xfId="0" applyNumberFormat="1" applyFont="1" applyFill="1" applyBorder="1"/>
    <xf numFmtId="171" fontId="30" fillId="0" borderId="38" xfId="0" applyNumberFormat="1" applyFont="1" applyFill="1" applyBorder="1"/>
    <xf numFmtId="172" fontId="136" fillId="0" borderId="0" xfId="0" applyNumberFormat="1" applyFont="1" applyFill="1"/>
    <xf numFmtId="172" fontId="130" fillId="67" borderId="0" xfId="0" applyNumberFormat="1" applyFont="1" applyFill="1"/>
    <xf numFmtId="164" fontId="114" fillId="25" borderId="20" xfId="204" applyFont="1" applyFill="1" applyBorder="1" applyAlignment="1">
      <alignment horizontal="center"/>
    </xf>
    <xf numFmtId="164" fontId="114" fillId="25" borderId="27" xfId="204" applyFont="1" applyFill="1" applyBorder="1" applyAlignment="1">
      <alignment horizontal="center"/>
    </xf>
    <xf numFmtId="0" fontId="23" fillId="0" borderId="34" xfId="0" applyFont="1" applyFill="1" applyBorder="1" applyAlignment="1">
      <alignment vertical="center"/>
    </xf>
    <xf numFmtId="0" fontId="23" fillId="0" borderId="38" xfId="0" applyFont="1" applyFill="1" applyBorder="1" applyAlignment="1">
      <alignment horizontal="center" vertical="center" wrapText="1"/>
    </xf>
    <xf numFmtId="0" fontId="23" fillId="0" borderId="38" xfId="0" applyFont="1" applyFill="1" applyBorder="1" applyAlignment="1">
      <alignment horizontal="center" vertical="center"/>
    </xf>
    <xf numFmtId="4" fontId="128" fillId="0" borderId="0" xfId="101" applyNumberFormat="1" applyFont="1" applyBorder="1" applyAlignment="1" applyProtection="1">
      <alignment horizontal="right" vertical="top" shrinkToFit="1"/>
    </xf>
    <xf numFmtId="4" fontId="120" fillId="0" borderId="0" xfId="116" applyNumberFormat="1" applyFont="1" applyBorder="1" applyAlignment="1" applyProtection="1">
      <alignment horizontal="right" vertical="top" shrinkToFit="1"/>
    </xf>
    <xf numFmtId="164" fontId="23" fillId="0" borderId="23" xfId="204" applyFont="1" applyFill="1" applyBorder="1" applyAlignment="1">
      <alignment horizontal="center" wrapText="1" shrinkToFit="1"/>
    </xf>
    <xf numFmtId="164" fontId="23" fillId="27" borderId="13" xfId="204" applyFont="1" applyFill="1" applyBorder="1" applyAlignment="1">
      <alignment horizontal="center"/>
    </xf>
    <xf numFmtId="164" fontId="24" fillId="27" borderId="37" xfId="204" applyFont="1" applyFill="1" applyBorder="1" applyAlignment="1">
      <alignment horizontal="center"/>
    </xf>
    <xf numFmtId="164" fontId="23" fillId="27" borderId="36" xfId="204" applyFont="1" applyFill="1" applyBorder="1" applyAlignment="1">
      <alignment horizontal="center"/>
    </xf>
    <xf numFmtId="164" fontId="23" fillId="0" borderId="47" xfId="204" applyFont="1" applyBorder="1" applyAlignment="1">
      <alignment horizontal="center" wrapText="1" shrinkToFit="1"/>
    </xf>
    <xf numFmtId="164" fontId="23" fillId="0" borderId="48" xfId="204" applyFont="1" applyFill="1" applyBorder="1" applyAlignment="1">
      <alignment horizontal="center" wrapText="1" shrinkToFit="1"/>
    </xf>
    <xf numFmtId="164" fontId="114" fillId="67" borderId="20" xfId="204" applyFont="1" applyFill="1" applyBorder="1" applyAlignment="1">
      <alignment horizontal="center"/>
    </xf>
    <xf numFmtId="164" fontId="114" fillId="67" borderId="27" xfId="204" applyFont="1" applyFill="1" applyBorder="1" applyAlignment="1">
      <alignment horizontal="center"/>
    </xf>
    <xf numFmtId="164" fontId="24" fillId="68" borderId="29" xfId="204" applyFont="1" applyFill="1" applyBorder="1" applyAlignment="1">
      <alignment horizontal="center"/>
    </xf>
    <xf numFmtId="164" fontId="24" fillId="70" borderId="20" xfId="204" applyFont="1" applyFill="1" applyBorder="1" applyAlignment="1">
      <alignment horizontal="center" wrapText="1" shrinkToFit="1"/>
    </xf>
    <xf numFmtId="164" fontId="24" fillId="70" borderId="27" xfId="204" applyFont="1" applyFill="1" applyBorder="1" applyAlignment="1">
      <alignment horizontal="center" wrapText="1" shrinkToFit="1"/>
    </xf>
    <xf numFmtId="164" fontId="23" fillId="27" borderId="24" xfId="204" applyFont="1" applyFill="1" applyBorder="1" applyAlignment="1"/>
    <xf numFmtId="0" fontId="23" fillId="27" borderId="12" xfId="0" applyFont="1" applyFill="1" applyBorder="1" applyAlignment="1">
      <alignment horizontal="center" vertical="center"/>
    </xf>
    <xf numFmtId="164" fontId="114" fillId="27" borderId="22" xfId="204" applyFont="1" applyFill="1" applyBorder="1" applyAlignment="1">
      <alignment horizontal="center"/>
    </xf>
    <xf numFmtId="164" fontId="114" fillId="27" borderId="26" xfId="204" applyFont="1" applyFill="1" applyBorder="1" applyAlignment="1">
      <alignment horizontal="center"/>
    </xf>
    <xf numFmtId="164" fontId="23" fillId="27" borderId="30" xfId="204" applyFont="1" applyFill="1" applyBorder="1" applyAlignment="1"/>
    <xf numFmtId="0" fontId="23" fillId="0" borderId="0" xfId="0" applyFont="1" applyFill="1" applyAlignment="1">
      <alignment horizontal="center" vertical="center"/>
    </xf>
    <xf numFmtId="0" fontId="23" fillId="0" borderId="34" xfId="0" applyFont="1" applyFill="1" applyBorder="1" applyAlignment="1">
      <alignment vertical="center"/>
    </xf>
    <xf numFmtId="0" fontId="23" fillId="0" borderId="0" xfId="0" applyFont="1" applyFill="1" applyBorder="1" applyAlignment="1">
      <alignment horizontal="center" vertical="center" wrapText="1"/>
    </xf>
    <xf numFmtId="49" fontId="32" fillId="0" borderId="38" xfId="0" applyNumberFormat="1" applyFont="1" applyBorder="1" applyAlignment="1">
      <alignment horizontal="center" vertical="center" wrapText="1"/>
    </xf>
    <xf numFmtId="0" fontId="23" fillId="0" borderId="34" xfId="0" applyFont="1" applyFill="1" applyBorder="1" applyAlignment="1">
      <alignment vertical="center"/>
    </xf>
    <xf numFmtId="0" fontId="23" fillId="0" borderId="0" xfId="0" applyFont="1" applyFill="1" applyBorder="1" applyAlignment="1">
      <alignment horizontal="center" vertical="center" wrapText="1"/>
    </xf>
    <xf numFmtId="0" fontId="23" fillId="0" borderId="0" xfId="0" applyFont="1" applyFill="1" applyAlignment="1">
      <alignment horizontal="center" vertical="center"/>
    </xf>
    <xf numFmtId="164" fontId="21" fillId="0" borderId="48" xfId="204" applyNumberFormat="1" applyFont="1" applyFill="1" applyBorder="1" applyAlignment="1">
      <alignment horizontal="center"/>
    </xf>
    <xf numFmtId="2" fontId="23" fillId="0" borderId="45" xfId="0" applyNumberFormat="1" applyFont="1" applyFill="1" applyBorder="1" applyAlignment="1">
      <alignment vertical="center"/>
    </xf>
    <xf numFmtId="0" fontId="23" fillId="0" borderId="0" xfId="0" applyFont="1" applyFill="1" applyAlignment="1">
      <alignment horizontal="center" vertical="center"/>
    </xf>
    <xf numFmtId="0" fontId="23" fillId="0" borderId="34" xfId="0" applyFont="1" applyFill="1" applyBorder="1" applyAlignment="1">
      <alignment vertical="center"/>
    </xf>
    <xf numFmtId="164" fontId="114" fillId="27" borderId="37" xfId="204" applyFont="1" applyFill="1" applyBorder="1" applyAlignment="1">
      <alignment horizontal="center" wrapText="1"/>
    </xf>
    <xf numFmtId="164" fontId="23" fillId="27" borderId="13" xfId="204" applyFont="1" applyFill="1" applyBorder="1" applyAlignment="1">
      <alignment horizontal="center" wrapText="1"/>
    </xf>
    <xf numFmtId="164" fontId="114" fillId="27" borderId="20" xfId="204" applyFont="1" applyFill="1" applyBorder="1" applyAlignment="1">
      <alignment horizontal="center" wrapText="1"/>
    </xf>
    <xf numFmtId="3" fontId="23" fillId="67" borderId="11" xfId="0" applyNumberFormat="1" applyFont="1" applyFill="1" applyBorder="1" applyAlignment="1">
      <alignment horizontal="center" vertical="center"/>
    </xf>
    <xf numFmtId="3" fontId="23" fillId="67" borderId="36" xfId="0" applyNumberFormat="1" applyFont="1" applyFill="1" applyBorder="1" applyAlignment="1">
      <alignment horizontal="center" vertical="center"/>
    </xf>
    <xf numFmtId="164" fontId="23" fillId="67" borderId="36" xfId="204" applyFont="1" applyFill="1" applyBorder="1" applyAlignment="1"/>
    <xf numFmtId="164" fontId="23" fillId="67" borderId="37" xfId="204" applyFont="1" applyFill="1" applyBorder="1" applyAlignment="1"/>
    <xf numFmtId="164" fontId="23" fillId="67" borderId="15" xfId="204" applyFont="1" applyFill="1" applyBorder="1" applyAlignment="1"/>
    <xf numFmtId="164" fontId="23" fillId="67" borderId="24" xfId="204" applyFont="1" applyFill="1" applyBorder="1" applyAlignment="1"/>
    <xf numFmtId="164" fontId="23" fillId="0" borderId="32" xfId="204" applyFont="1" applyFill="1" applyBorder="1" applyAlignment="1">
      <alignment horizontal="center" shrinkToFit="1"/>
    </xf>
    <xf numFmtId="165" fontId="17" fillId="0" borderId="0" xfId="204" applyNumberFormat="1" applyFont="1" applyFill="1" applyBorder="1" applyAlignment="1"/>
    <xf numFmtId="0" fontId="25" fillId="0" borderId="0" xfId="0" applyFont="1" applyFill="1" applyBorder="1"/>
    <xf numFmtId="0" fontId="23" fillId="0" borderId="0" xfId="0" applyFont="1" applyFill="1" applyAlignment="1">
      <alignment horizontal="center" vertical="center"/>
    </xf>
    <xf numFmtId="0" fontId="23" fillId="0" borderId="34" xfId="0" applyFont="1" applyFill="1" applyBorder="1" applyAlignment="1">
      <alignment vertical="center"/>
    </xf>
    <xf numFmtId="49" fontId="32" fillId="0" borderId="38" xfId="0" applyNumberFormat="1" applyFont="1" applyBorder="1" applyAlignment="1">
      <alignment horizontal="center" vertical="center" wrapText="1"/>
    </xf>
    <xf numFmtId="0" fontId="23" fillId="0" borderId="38" xfId="0" applyFont="1" applyFill="1" applyBorder="1" applyAlignment="1">
      <alignment horizontal="center" vertical="center"/>
    </xf>
    <xf numFmtId="0" fontId="23" fillId="0" borderId="0" xfId="0" applyFont="1" applyFill="1" applyAlignment="1">
      <alignment horizontal="center" vertical="center"/>
    </xf>
    <xf numFmtId="0" fontId="32" fillId="70" borderId="38" xfId="0" applyNumberFormat="1" applyFont="1" applyFill="1" applyBorder="1" applyAlignment="1">
      <alignment vertical="center" wrapText="1"/>
    </xf>
    <xf numFmtId="164" fontId="29" fillId="70" borderId="38" xfId="204" applyFont="1" applyFill="1" applyBorder="1" applyAlignment="1">
      <alignment vertical="center"/>
    </xf>
    <xf numFmtId="164" fontId="31" fillId="70" borderId="38" xfId="204" applyFont="1" applyFill="1" applyBorder="1" applyAlignment="1">
      <alignment horizontal="center" vertical="center" wrapText="1"/>
    </xf>
    <xf numFmtId="164" fontId="31" fillId="70" borderId="38" xfId="204" applyFont="1" applyFill="1" applyBorder="1" applyAlignment="1">
      <alignment vertical="center"/>
    </xf>
    <xf numFmtId="164" fontId="61" fillId="68" borderId="38" xfId="204" applyFont="1" applyFill="1" applyBorder="1" applyAlignment="1">
      <alignment horizontal="center" vertical="center" wrapText="1"/>
    </xf>
    <xf numFmtId="3" fontId="23" fillId="70" borderId="46" xfId="0" applyNumberFormat="1" applyFont="1" applyFill="1" applyBorder="1" applyAlignment="1">
      <alignment horizontal="center" vertical="center" wrapText="1"/>
    </xf>
    <xf numFmtId="164" fontId="24" fillId="68" borderId="13" xfId="204" applyFont="1" applyFill="1" applyBorder="1" applyAlignment="1">
      <alignment horizontal="center"/>
    </xf>
    <xf numFmtId="4" fontId="132" fillId="73" borderId="57" xfId="208" applyNumberFormat="1" applyProtection="1">
      <alignment horizontal="right" vertical="top" shrinkToFit="1"/>
    </xf>
    <xf numFmtId="0" fontId="23" fillId="0" borderId="0" xfId="0" applyFont="1" applyFill="1" applyAlignment="1">
      <alignment horizontal="center" vertical="center"/>
    </xf>
    <xf numFmtId="0" fontId="23" fillId="0" borderId="34" xfId="0" applyFont="1" applyFill="1" applyBorder="1" applyAlignment="1">
      <alignment vertical="center"/>
    </xf>
    <xf numFmtId="49" fontId="32" fillId="0" borderId="38" xfId="0" applyNumberFormat="1" applyFont="1" applyBorder="1" applyAlignment="1">
      <alignment horizontal="center" vertical="center" wrapText="1"/>
    </xf>
    <xf numFmtId="0" fontId="24" fillId="0" borderId="38" xfId="0" applyFont="1" applyFill="1" applyBorder="1" applyAlignment="1">
      <alignment vertical="center"/>
    </xf>
    <xf numFmtId="164" fontId="114" fillId="0" borderId="38" xfId="0" applyNumberFormat="1" applyFont="1" applyFill="1" applyBorder="1" applyAlignment="1">
      <alignment horizontal="center" vertical="center"/>
    </xf>
    <xf numFmtId="0" fontId="23" fillId="0" borderId="34" xfId="0" applyFont="1" applyFill="1" applyBorder="1" applyAlignment="1">
      <alignment vertical="center"/>
    </xf>
    <xf numFmtId="49" fontId="32" fillId="0" borderId="38" xfId="0" applyNumberFormat="1" applyFont="1" applyBorder="1" applyAlignment="1">
      <alignment horizontal="center" vertical="center" wrapText="1"/>
    </xf>
    <xf numFmtId="0" fontId="17" fillId="25" borderId="14" xfId="0" applyFont="1" applyFill="1" applyBorder="1" applyAlignment="1">
      <alignment horizontal="center" vertical="center"/>
    </xf>
    <xf numFmtId="164" fontId="24" fillId="70" borderId="33" xfId="204" applyFont="1" applyFill="1" applyBorder="1" applyAlignment="1">
      <alignment horizontal="center" wrapText="1" shrinkToFit="1"/>
    </xf>
    <xf numFmtId="164" fontId="24" fillId="0" borderId="48" xfId="204" applyFont="1" applyFill="1" applyBorder="1" applyAlignment="1">
      <alignment horizontal="center" wrapText="1" shrinkToFit="1"/>
    </xf>
    <xf numFmtId="164" fontId="24" fillId="67" borderId="31" xfId="204" applyFont="1" applyFill="1" applyBorder="1" applyAlignment="1">
      <alignment horizontal="center" wrapText="1" shrinkToFit="1"/>
    </xf>
    <xf numFmtId="164" fontId="24" fillId="70" borderId="31" xfId="204" applyFont="1" applyFill="1" applyBorder="1" applyAlignment="1">
      <alignment horizontal="center" wrapText="1" shrinkToFit="1"/>
    </xf>
    <xf numFmtId="164" fontId="23" fillId="0" borderId="0" xfId="0" applyNumberFormat="1" applyFont="1" applyFill="1" applyBorder="1" applyAlignment="1">
      <alignment vertical="center"/>
    </xf>
    <xf numFmtId="0" fontId="17" fillId="0" borderId="30" xfId="0" applyFont="1" applyFill="1" applyBorder="1" applyAlignment="1">
      <alignment vertical="center" wrapText="1"/>
    </xf>
    <xf numFmtId="49" fontId="32" fillId="72" borderId="38" xfId="0" applyNumberFormat="1" applyFont="1" applyFill="1" applyBorder="1" applyAlignment="1">
      <alignment horizontal="center" vertical="center" wrapText="1"/>
    </xf>
    <xf numFmtId="0" fontId="59" fillId="68" borderId="38" xfId="0" applyFont="1" applyFill="1" applyBorder="1" applyAlignment="1">
      <alignment horizontal="center" vertical="center" wrapText="1"/>
    </xf>
    <xf numFmtId="0" fontId="23" fillId="0" borderId="34" xfId="0" applyFont="1" applyFill="1" applyBorder="1" applyAlignment="1">
      <alignment vertical="center"/>
    </xf>
    <xf numFmtId="0" fontId="5" fillId="0" borderId="36" xfId="0" applyFont="1" applyFill="1" applyBorder="1" applyAlignment="1">
      <alignment vertical="center"/>
    </xf>
    <xf numFmtId="0" fontId="5" fillId="0" borderId="34" xfId="0" applyFont="1" applyFill="1" applyBorder="1" applyAlignment="1">
      <alignment vertical="center"/>
    </xf>
    <xf numFmtId="0" fontId="5" fillId="0" borderId="46" xfId="0" applyFont="1" applyFill="1" applyBorder="1" applyAlignment="1">
      <alignment vertical="center"/>
    </xf>
    <xf numFmtId="164" fontId="114" fillId="70" borderId="82" xfId="204" applyFont="1" applyFill="1" applyBorder="1" applyAlignment="1">
      <alignment horizontal="center"/>
    </xf>
    <xf numFmtId="164" fontId="21" fillId="0" borderId="82" xfId="204" applyNumberFormat="1" applyFont="1" applyFill="1" applyBorder="1" applyAlignment="1">
      <alignment horizontal="center"/>
    </xf>
    <xf numFmtId="164" fontId="114" fillId="25" borderId="22" xfId="204" applyFont="1" applyFill="1" applyBorder="1" applyAlignment="1">
      <alignment horizontal="center"/>
    </xf>
    <xf numFmtId="164" fontId="114" fillId="25" borderId="26" xfId="204" applyFont="1" applyFill="1" applyBorder="1" applyAlignment="1">
      <alignment horizontal="center"/>
    </xf>
    <xf numFmtId="0" fontId="22" fillId="0" borderId="45" xfId="0" applyFont="1" applyFill="1" applyBorder="1" applyAlignment="1">
      <alignment horizontal="center" vertical="center"/>
    </xf>
    <xf numFmtId="4" fontId="129" fillId="0" borderId="80" xfId="101" applyNumberFormat="1" applyFont="1" applyBorder="1" applyAlignment="1" applyProtection="1">
      <alignment horizontal="right" vertical="top" shrinkToFit="1"/>
    </xf>
    <xf numFmtId="0" fontId="23" fillId="0" borderId="34" xfId="0" applyFont="1" applyFill="1" applyBorder="1" applyAlignment="1">
      <alignment vertical="center"/>
    </xf>
    <xf numFmtId="164" fontId="17" fillId="0" borderId="44" xfId="204" applyNumberFormat="1" applyFont="1" applyFill="1" applyBorder="1" applyAlignment="1"/>
    <xf numFmtId="0" fontId="23" fillId="68" borderId="36" xfId="0" applyFont="1" applyFill="1" applyBorder="1" applyAlignment="1">
      <alignment horizontal="center" vertical="center" wrapText="1"/>
    </xf>
    <xf numFmtId="0" fontId="23" fillId="0" borderId="0" xfId="0" applyFont="1" applyFill="1" applyAlignment="1">
      <alignment horizontal="center" vertical="center"/>
    </xf>
    <xf numFmtId="0" fontId="23" fillId="0" borderId="34" xfId="0" applyFont="1" applyFill="1" applyBorder="1" applyAlignment="1">
      <alignment vertical="center"/>
    </xf>
    <xf numFmtId="0" fontId="23" fillId="0" borderId="38" xfId="0" applyFont="1" applyFill="1" applyBorder="1" applyAlignment="1">
      <alignment horizontal="center" vertical="center"/>
    </xf>
    <xf numFmtId="164" fontId="113" fillId="0" borderId="0" xfId="204" applyFont="1" applyFill="1" applyBorder="1" applyAlignment="1"/>
    <xf numFmtId="4" fontId="113" fillId="0" borderId="0" xfId="191" applyNumberFormat="1" applyFont="1" applyFill="1" applyBorder="1" applyAlignment="1">
      <alignment horizontal="right" shrinkToFit="1"/>
    </xf>
    <xf numFmtId="0" fontId="116" fillId="0" borderId="0" xfId="0" applyFont="1"/>
    <xf numFmtId="164" fontId="21" fillId="0" borderId="50" xfId="204" applyNumberFormat="1" applyFont="1" applyFill="1" applyBorder="1" applyAlignment="1">
      <alignment horizontal="center"/>
    </xf>
    <xf numFmtId="164" fontId="29" fillId="0" borderId="0" xfId="204" applyFont="1" applyFill="1" applyBorder="1" applyAlignment="1">
      <alignment horizontal="center" vertical="center"/>
    </xf>
    <xf numFmtId="0" fontId="7" fillId="0" borderId="0" xfId="0" applyFont="1" applyFill="1" applyAlignment="1">
      <alignment vertical="center"/>
    </xf>
    <xf numFmtId="0" fontId="23" fillId="0" borderId="36"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43" xfId="0" applyFont="1" applyFill="1" applyBorder="1" applyAlignment="1">
      <alignment horizontal="center" vertical="center" wrapText="1"/>
    </xf>
    <xf numFmtId="0" fontId="23" fillId="68" borderId="36" xfId="0" applyFont="1" applyFill="1" applyBorder="1" applyAlignment="1">
      <alignment horizontal="center" vertical="center" wrapText="1"/>
    </xf>
    <xf numFmtId="0" fontId="23" fillId="68" borderId="46"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29" xfId="0" applyFont="1" applyFill="1" applyBorder="1" applyAlignment="1">
      <alignment horizontal="center" vertical="center" wrapText="1"/>
    </xf>
    <xf numFmtId="4" fontId="125" fillId="0" borderId="58" xfId="104" applyNumberFormat="1" applyFont="1" applyFill="1" applyBorder="1" applyAlignment="1" applyProtection="1">
      <alignment horizontal="right" shrinkToFit="1"/>
    </xf>
    <xf numFmtId="164" fontId="20" fillId="68" borderId="38" xfId="204" applyFont="1" applyFill="1" applyBorder="1" applyAlignment="1"/>
    <xf numFmtId="164" fontId="24" fillId="0" borderId="16" xfId="204" applyFont="1" applyFill="1" applyBorder="1" applyAlignment="1">
      <alignment horizontal="center" wrapText="1"/>
    </xf>
    <xf numFmtId="4" fontId="125" fillId="0" borderId="17" xfId="48" applyFont="1" applyFill="1" applyBorder="1" applyAlignment="1" applyProtection="1">
      <alignment horizontal="right" wrapText="1" shrinkToFit="1"/>
    </xf>
    <xf numFmtId="164" fontId="23" fillId="0" borderId="17" xfId="204" applyFont="1" applyFill="1" applyBorder="1" applyAlignment="1">
      <alignment horizontal="center" wrapText="1" shrinkToFit="1"/>
    </xf>
    <xf numFmtId="164" fontId="24" fillId="0" borderId="19" xfId="204" applyFont="1" applyFill="1" applyBorder="1" applyAlignment="1">
      <alignment horizontal="center" wrapText="1" shrinkToFit="1"/>
    </xf>
    <xf numFmtId="164" fontId="23" fillId="0" borderId="16" xfId="204" applyFont="1" applyFill="1" applyBorder="1" applyAlignment="1">
      <alignment horizontal="center" wrapText="1" shrinkToFit="1"/>
    </xf>
    <xf numFmtId="4" fontId="125" fillId="0" borderId="22" xfId="48" applyFont="1" applyFill="1" applyBorder="1" applyAlignment="1" applyProtection="1">
      <alignment horizontal="right" wrapText="1" shrinkToFit="1"/>
    </xf>
    <xf numFmtId="164" fontId="24" fillId="68" borderId="16" xfId="204" applyFont="1" applyFill="1" applyBorder="1" applyAlignment="1">
      <alignment horizontal="center" wrapText="1"/>
    </xf>
    <xf numFmtId="164" fontId="24" fillId="68" borderId="17" xfId="204" applyFont="1" applyFill="1" applyBorder="1" applyAlignment="1">
      <alignment horizontal="center" wrapText="1"/>
    </xf>
    <xf numFmtId="164" fontId="24" fillId="68" borderId="22" xfId="204" applyFont="1" applyFill="1" applyBorder="1" applyAlignment="1">
      <alignment horizontal="center" wrapText="1"/>
    </xf>
    <xf numFmtId="164" fontId="23" fillId="67" borderId="16" xfId="204" applyFont="1" applyFill="1" applyBorder="1" applyAlignment="1">
      <alignment horizontal="center" wrapText="1" shrinkToFit="1"/>
    </xf>
    <xf numFmtId="164" fontId="23" fillId="67" borderId="17" xfId="204" applyFont="1" applyFill="1" applyBorder="1" applyAlignment="1">
      <alignment horizontal="center" wrapText="1" shrinkToFit="1"/>
    </xf>
    <xf numFmtId="164" fontId="23" fillId="67" borderId="22" xfId="204" applyFont="1" applyFill="1" applyBorder="1" applyAlignment="1">
      <alignment horizontal="center" wrapText="1" shrinkToFit="1"/>
    </xf>
    <xf numFmtId="164" fontId="24" fillId="68" borderId="18" xfId="204" applyFont="1" applyFill="1" applyBorder="1" applyAlignment="1">
      <alignment horizontal="center" wrapText="1"/>
    </xf>
    <xf numFmtId="164" fontId="24" fillId="68" borderId="20" xfId="204" applyFont="1" applyFill="1" applyBorder="1" applyAlignment="1">
      <alignment horizontal="center" wrapText="1"/>
    </xf>
    <xf numFmtId="164" fontId="24" fillId="68" borderId="18" xfId="204" applyFont="1" applyFill="1" applyBorder="1" applyAlignment="1">
      <alignment horizontal="center"/>
    </xf>
    <xf numFmtId="164" fontId="24" fillId="68" borderId="16" xfId="204" applyFont="1" applyFill="1" applyBorder="1" applyAlignment="1">
      <alignment horizontal="center"/>
    </xf>
    <xf numFmtId="164" fontId="23" fillId="68" borderId="19" xfId="204" applyFont="1" applyFill="1" applyBorder="1" applyAlignment="1">
      <alignment horizontal="center"/>
    </xf>
    <xf numFmtId="164" fontId="23" fillId="68" borderId="16" xfId="204" applyFont="1" applyFill="1" applyBorder="1" applyAlignment="1">
      <alignment horizontal="center"/>
    </xf>
    <xf numFmtId="164" fontId="23" fillId="68" borderId="23" xfId="204" applyFont="1" applyFill="1" applyBorder="1" applyAlignment="1">
      <alignment horizontal="center"/>
    </xf>
    <xf numFmtId="164" fontId="114" fillId="0" borderId="18" xfId="204" applyFont="1" applyFill="1" applyBorder="1" applyAlignment="1">
      <alignment horizontal="center"/>
    </xf>
    <xf numFmtId="164" fontId="114" fillId="0" borderId="16" xfId="204" applyFont="1" applyFill="1" applyBorder="1" applyAlignment="1">
      <alignment horizontal="center"/>
    </xf>
    <xf numFmtId="164" fontId="24" fillId="67" borderId="16" xfId="204" applyFont="1" applyFill="1" applyBorder="1" applyAlignment="1">
      <alignment horizontal="center" wrapText="1" shrinkToFit="1"/>
    </xf>
    <xf numFmtId="164" fontId="114" fillId="68" borderId="16" xfId="204" applyFont="1" applyFill="1" applyBorder="1" applyAlignment="1">
      <alignment horizontal="center"/>
    </xf>
    <xf numFmtId="164" fontId="114" fillId="68" borderId="18" xfId="204" applyFont="1" applyFill="1" applyBorder="1" applyAlignment="1">
      <alignment horizontal="center"/>
    </xf>
    <xf numFmtId="164" fontId="114" fillId="68" borderId="17" xfId="204" applyFont="1" applyFill="1" applyBorder="1" applyAlignment="1">
      <alignment horizontal="center"/>
    </xf>
    <xf numFmtId="164" fontId="114" fillId="68" borderId="21" xfId="204" applyFont="1" applyFill="1" applyBorder="1" applyAlignment="1">
      <alignment horizontal="center"/>
    </xf>
    <xf numFmtId="164" fontId="114" fillId="68" borderId="22" xfId="204" applyFont="1" applyFill="1" applyBorder="1" applyAlignment="1">
      <alignment horizontal="center"/>
    </xf>
    <xf numFmtId="164" fontId="114" fillId="70" borderId="16" xfId="204" applyFont="1" applyFill="1" applyBorder="1" applyAlignment="1">
      <alignment horizontal="center" wrapText="1" shrinkToFit="1"/>
    </xf>
    <xf numFmtId="164" fontId="24" fillId="70" borderId="18" xfId="204" applyFont="1" applyFill="1" applyBorder="1" applyAlignment="1">
      <alignment horizontal="center" wrapText="1" shrinkToFit="1"/>
    </xf>
    <xf numFmtId="164" fontId="24" fillId="70" borderId="16" xfId="204" applyFont="1" applyFill="1" applyBorder="1" applyAlignment="1">
      <alignment horizontal="center" wrapText="1" shrinkToFit="1"/>
    </xf>
    <xf numFmtId="164" fontId="23" fillId="70" borderId="19" xfId="204" applyFont="1" applyFill="1" applyBorder="1" applyAlignment="1">
      <alignment horizontal="center" wrapText="1" shrinkToFit="1"/>
    </xf>
    <xf numFmtId="3" fontId="23" fillId="67" borderId="15" xfId="0" applyNumberFormat="1" applyFont="1" applyFill="1" applyBorder="1" applyAlignment="1">
      <alignment horizontal="center" vertical="center"/>
    </xf>
    <xf numFmtId="164" fontId="24" fillId="67" borderId="18" xfId="204" applyFont="1" applyFill="1" applyBorder="1" applyAlignment="1">
      <alignment horizontal="center" wrapText="1" shrinkToFit="1"/>
    </xf>
    <xf numFmtId="164" fontId="24" fillId="67" borderId="19" xfId="204" applyFont="1" applyFill="1" applyBorder="1" applyAlignment="1">
      <alignment horizontal="center" wrapText="1" shrinkToFit="1"/>
    </xf>
    <xf numFmtId="164" fontId="24" fillId="70" borderId="29" xfId="204" applyFont="1" applyFill="1" applyBorder="1" applyAlignment="1">
      <alignment horizontal="center" wrapText="1" shrinkToFit="1"/>
    </xf>
    <xf numFmtId="164" fontId="24" fillId="67" borderId="18" xfId="204" applyFont="1" applyFill="1" applyBorder="1" applyAlignment="1">
      <alignment horizontal="center"/>
    </xf>
    <xf numFmtId="164" fontId="24" fillId="67" borderId="16" xfId="204" applyFont="1" applyFill="1" applyBorder="1" applyAlignment="1">
      <alignment horizontal="center"/>
    </xf>
    <xf numFmtId="164" fontId="23" fillId="0" borderId="22" xfId="204" applyFont="1" applyFill="1" applyBorder="1" applyAlignment="1">
      <alignment horizontal="center" shrinkToFit="1"/>
    </xf>
    <xf numFmtId="0" fontId="23" fillId="25" borderId="15" xfId="0" applyFont="1" applyFill="1" applyBorder="1" applyAlignment="1">
      <alignment horizontal="center" vertical="center"/>
    </xf>
    <xf numFmtId="164" fontId="24" fillId="67" borderId="17" xfId="204" applyFont="1" applyFill="1" applyBorder="1" applyAlignment="1">
      <alignment horizontal="center"/>
    </xf>
    <xf numFmtId="164" fontId="114" fillId="67" borderId="18" xfId="204" applyFont="1" applyFill="1" applyBorder="1" applyAlignment="1">
      <alignment horizontal="center"/>
    </xf>
    <xf numFmtId="164" fontId="114" fillId="67" borderId="16" xfId="204" applyFont="1" applyFill="1" applyBorder="1" applyAlignment="1">
      <alignment horizontal="center"/>
    </xf>
    <xf numFmtId="164" fontId="114" fillId="70" borderId="19" xfId="204" applyFont="1" applyFill="1" applyBorder="1" applyAlignment="1">
      <alignment horizontal="center"/>
    </xf>
    <xf numFmtId="164" fontId="114" fillId="70" borderId="16" xfId="204" applyFont="1" applyFill="1" applyBorder="1" applyAlignment="1">
      <alignment horizontal="center"/>
    </xf>
    <xf numFmtId="164" fontId="24" fillId="68" borderId="23" xfId="204" applyFont="1" applyFill="1" applyBorder="1" applyAlignment="1">
      <alignment horizontal="center"/>
    </xf>
    <xf numFmtId="164" fontId="114" fillId="67" borderId="17" xfId="204" applyFont="1" applyFill="1" applyBorder="1" applyAlignment="1">
      <alignment horizontal="center"/>
    </xf>
    <xf numFmtId="0" fontId="23" fillId="67" borderId="43" xfId="0" applyFont="1" applyFill="1" applyBorder="1" applyAlignment="1">
      <alignment horizontal="center" vertical="center" wrapText="1"/>
    </xf>
    <xf numFmtId="164" fontId="23" fillId="25" borderId="44" xfId="204" applyFont="1" applyFill="1" applyBorder="1" applyAlignment="1">
      <alignment horizontal="center"/>
    </xf>
    <xf numFmtId="164" fontId="114" fillId="25" borderId="32" xfId="204" applyFont="1" applyFill="1" applyBorder="1" applyAlignment="1">
      <alignment horizontal="center"/>
    </xf>
    <xf numFmtId="164" fontId="24" fillId="67" borderId="19" xfId="204" applyFont="1" applyFill="1" applyBorder="1" applyAlignment="1">
      <alignment horizontal="center"/>
    </xf>
    <xf numFmtId="164" fontId="24" fillId="70" borderId="16" xfId="204" applyFont="1" applyFill="1" applyBorder="1" applyAlignment="1">
      <alignment horizontal="center"/>
    </xf>
    <xf numFmtId="3" fontId="23" fillId="67" borderId="14" xfId="0" applyNumberFormat="1" applyFont="1" applyFill="1" applyBorder="1" applyAlignment="1">
      <alignment horizontal="center" vertical="center" wrapText="1"/>
    </xf>
    <xf numFmtId="164" fontId="114" fillId="68" borderId="33" xfId="204" applyFont="1" applyFill="1" applyBorder="1" applyAlignment="1">
      <alignment horizontal="center" wrapText="1"/>
    </xf>
    <xf numFmtId="0" fontId="23" fillId="67" borderId="14" xfId="0" quotePrefix="1" applyFont="1" applyFill="1" applyBorder="1" applyAlignment="1">
      <alignment horizontal="center" vertical="center" wrapText="1"/>
    </xf>
    <xf numFmtId="0" fontId="23" fillId="70" borderId="14" xfId="0" applyFont="1" applyFill="1" applyBorder="1" applyAlignment="1">
      <alignment horizontal="center" vertical="center" wrapText="1"/>
    </xf>
    <xf numFmtId="0" fontId="23" fillId="67" borderId="36" xfId="0" quotePrefix="1" applyFont="1" applyFill="1" applyBorder="1" applyAlignment="1">
      <alignment horizontal="center" vertical="center" wrapText="1"/>
    </xf>
    <xf numFmtId="164" fontId="24" fillId="70" borderId="23" xfId="204" applyFont="1" applyFill="1" applyBorder="1" applyAlignment="1">
      <alignment horizontal="center"/>
    </xf>
    <xf numFmtId="164" fontId="23" fillId="70" borderId="36" xfId="204" applyFont="1" applyFill="1" applyBorder="1" applyAlignment="1">
      <alignment horizontal="center"/>
    </xf>
    <xf numFmtId="164" fontId="23" fillId="67" borderId="46" xfId="204" applyFont="1" applyFill="1" applyBorder="1" applyAlignment="1">
      <alignment horizontal="center"/>
    </xf>
    <xf numFmtId="164" fontId="23" fillId="70" borderId="19" xfId="204" applyFont="1" applyFill="1" applyBorder="1" applyAlignment="1">
      <alignment horizontal="center"/>
    </xf>
    <xf numFmtId="164" fontId="24" fillId="70" borderId="32" xfId="204" applyFont="1" applyFill="1" applyBorder="1" applyAlignment="1">
      <alignment horizontal="center"/>
    </xf>
    <xf numFmtId="164" fontId="24" fillId="67" borderId="29" xfId="204" applyFont="1" applyFill="1" applyBorder="1" applyAlignment="1">
      <alignment horizontal="center"/>
    </xf>
    <xf numFmtId="164" fontId="23" fillId="67" borderId="17" xfId="204" applyFont="1" applyFill="1" applyBorder="1" applyAlignment="1">
      <alignment horizontal="center"/>
    </xf>
    <xf numFmtId="164" fontId="23" fillId="68" borderId="33" xfId="204" applyFont="1" applyFill="1" applyBorder="1" applyAlignment="1">
      <alignment horizontal="center" wrapText="1" shrinkToFit="1"/>
    </xf>
    <xf numFmtId="164" fontId="24" fillId="27" borderId="23" xfId="204" applyFont="1" applyFill="1" applyBorder="1" applyAlignment="1">
      <alignment horizontal="center"/>
    </xf>
    <xf numFmtId="164" fontId="24" fillId="27" borderId="28" xfId="204" applyFont="1" applyFill="1" applyBorder="1" applyAlignment="1">
      <alignment horizontal="center"/>
    </xf>
    <xf numFmtId="164" fontId="24" fillId="68" borderId="17" xfId="204" applyFont="1" applyFill="1" applyBorder="1" applyAlignment="1">
      <alignment horizontal="center"/>
    </xf>
    <xf numFmtId="0" fontId="23" fillId="67" borderId="43" xfId="0" quotePrefix="1" applyFont="1" applyFill="1" applyBorder="1" applyAlignment="1">
      <alignment horizontal="center" vertical="center" wrapText="1"/>
    </xf>
    <xf numFmtId="0" fontId="3" fillId="0" borderId="38" xfId="0" applyFont="1" applyFill="1" applyBorder="1" applyAlignment="1">
      <alignment vertical="center" wrapText="1"/>
    </xf>
    <xf numFmtId="0" fontId="23" fillId="0" borderId="34" xfId="0" applyFont="1" applyFill="1" applyBorder="1" applyAlignment="1">
      <alignment vertical="center"/>
    </xf>
    <xf numFmtId="0" fontId="23" fillId="67" borderId="11"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0" xfId="0" applyFont="1" applyFill="1" applyAlignment="1">
      <alignment horizontal="center" vertical="center"/>
    </xf>
    <xf numFmtId="0" fontId="23" fillId="0" borderId="34" xfId="0" applyFont="1" applyFill="1" applyBorder="1" applyAlignment="1">
      <alignment vertical="center"/>
    </xf>
    <xf numFmtId="49" fontId="32" fillId="0" borderId="38" xfId="0" applyNumberFormat="1" applyFont="1" applyBorder="1" applyAlignment="1">
      <alignment horizontal="center" vertical="center" wrapText="1"/>
    </xf>
    <xf numFmtId="3" fontId="23" fillId="25" borderId="14" xfId="0" applyNumberFormat="1" applyFont="1" applyFill="1" applyBorder="1" applyAlignment="1">
      <alignment horizontal="center" vertical="center" wrapText="1"/>
    </xf>
    <xf numFmtId="164" fontId="114" fillId="67" borderId="37" xfId="204" applyFont="1" applyFill="1" applyBorder="1" applyAlignment="1">
      <alignment horizontal="center"/>
    </xf>
    <xf numFmtId="0" fontId="23" fillId="67" borderId="36" xfId="0" applyFont="1" applyFill="1" applyBorder="1" applyAlignment="1">
      <alignment horizontal="center" vertical="center" wrapText="1"/>
    </xf>
    <xf numFmtId="164" fontId="114" fillId="0" borderId="17" xfId="204" applyFont="1" applyFill="1" applyBorder="1" applyAlignment="1">
      <alignment horizontal="center"/>
    </xf>
    <xf numFmtId="164" fontId="114" fillId="0" borderId="22" xfId="204" applyFont="1" applyFill="1" applyBorder="1" applyAlignment="1">
      <alignment horizontal="center"/>
    </xf>
    <xf numFmtId="164" fontId="114" fillId="0" borderId="26" xfId="204" applyFont="1" applyFill="1" applyBorder="1" applyAlignment="1">
      <alignment horizontal="center"/>
    </xf>
    <xf numFmtId="0" fontId="23" fillId="0" borderId="34" xfId="0" applyFont="1" applyFill="1" applyBorder="1" applyAlignment="1">
      <alignment vertical="center"/>
    </xf>
    <xf numFmtId="0" fontId="23" fillId="0" borderId="0" xfId="0" applyFont="1" applyFill="1" applyAlignment="1">
      <alignment horizontal="center" vertical="center"/>
    </xf>
    <xf numFmtId="0" fontId="23" fillId="0" borderId="0" xfId="0" applyFont="1" applyFill="1" applyAlignment="1">
      <alignment horizontal="center" vertical="center"/>
    </xf>
    <xf numFmtId="0" fontId="23" fillId="0" borderId="34" xfId="0" applyFont="1" applyFill="1" applyBorder="1" applyAlignment="1">
      <alignment vertical="center"/>
    </xf>
    <xf numFmtId="0" fontId="23" fillId="0" borderId="34" xfId="0" applyFont="1" applyFill="1" applyBorder="1" applyAlignment="1">
      <alignment horizontal="center" vertical="center" wrapText="1"/>
    </xf>
    <xf numFmtId="0" fontId="4" fillId="70" borderId="11" xfId="0" applyFont="1" applyFill="1" applyBorder="1" applyAlignment="1">
      <alignment horizontal="center" vertical="center" wrapText="1"/>
    </xf>
    <xf numFmtId="4" fontId="114" fillId="0" borderId="38" xfId="41" applyNumberFormat="1" applyFont="1" applyBorder="1" applyProtection="1">
      <alignment horizontal="right" vertical="top" shrinkToFit="1"/>
    </xf>
    <xf numFmtId="164" fontId="73" fillId="73" borderId="57" xfId="204" applyFont="1" applyFill="1" applyBorder="1" applyAlignment="1" applyProtection="1">
      <alignment horizontal="right" vertical="top" shrinkToFit="1"/>
    </xf>
    <xf numFmtId="0" fontId="23" fillId="0" borderId="34" xfId="0" applyFont="1" applyFill="1" applyBorder="1" applyAlignment="1">
      <alignment vertical="center"/>
    </xf>
    <xf numFmtId="0" fontId="23" fillId="0" borderId="0" xfId="0" applyFont="1" applyFill="1" applyAlignment="1">
      <alignment horizontal="center" vertical="center"/>
    </xf>
    <xf numFmtId="0" fontId="23" fillId="0" borderId="0" xfId="0" applyFont="1" applyFill="1" applyAlignment="1">
      <alignment horizontal="center" vertical="center"/>
    </xf>
    <xf numFmtId="0" fontId="23" fillId="0" borderId="34" xfId="0" applyFont="1" applyFill="1" applyBorder="1" applyAlignment="1">
      <alignment vertical="center"/>
    </xf>
    <xf numFmtId="164" fontId="30" fillId="0" borderId="38" xfId="204" applyFont="1" applyBorder="1" applyAlignment="1">
      <alignment horizontal="center" wrapText="1" shrinkToFit="1"/>
    </xf>
    <xf numFmtId="164" fontId="113" fillId="0" borderId="38" xfId="204" applyFont="1" applyFill="1" applyBorder="1" applyAlignment="1">
      <alignment horizontal="center" shrinkToFit="1"/>
    </xf>
    <xf numFmtId="164" fontId="65" fillId="0" borderId="0" xfId="204" applyFont="1" applyFill="1" applyAlignment="1">
      <alignment horizontal="center"/>
    </xf>
    <xf numFmtId="164" fontId="65" fillId="0" borderId="0" xfId="204" applyFont="1" applyAlignment="1">
      <alignment horizontal="center"/>
    </xf>
    <xf numFmtId="164" fontId="30" fillId="0" borderId="38" xfId="204" applyFont="1" applyBorder="1" applyAlignment="1">
      <alignment horizontal="center"/>
    </xf>
    <xf numFmtId="164" fontId="20" fillId="0" borderId="38" xfId="204" applyFont="1" applyBorder="1" applyAlignment="1">
      <alignment horizontal="center"/>
    </xf>
    <xf numFmtId="164" fontId="20" fillId="0" borderId="38" xfId="204" applyFont="1" applyFill="1" applyBorder="1" applyAlignment="1">
      <alignment horizontal="center"/>
    </xf>
    <xf numFmtId="164" fontId="124" fillId="73" borderId="57" xfId="204" applyFont="1" applyFill="1" applyBorder="1" applyAlignment="1" applyProtection="1">
      <alignment horizontal="right" vertical="top" shrinkToFit="1"/>
    </xf>
    <xf numFmtId="164" fontId="23" fillId="0" borderId="43" xfId="204" applyFont="1" applyFill="1" applyBorder="1" applyAlignment="1">
      <alignment horizontal="center" wrapText="1"/>
    </xf>
    <xf numFmtId="164" fontId="23" fillId="0" borderId="48" xfId="204" applyFont="1" applyFill="1" applyBorder="1" applyAlignment="1">
      <alignment horizontal="center" shrinkToFit="1"/>
    </xf>
    <xf numFmtId="164" fontId="23" fillId="0" borderId="23" xfId="204" applyFont="1" applyFill="1" applyBorder="1" applyAlignment="1">
      <alignment horizontal="center" shrinkToFit="1"/>
    </xf>
    <xf numFmtId="164" fontId="23" fillId="70" borderId="20" xfId="204" applyFont="1" applyFill="1" applyBorder="1" applyAlignment="1">
      <alignment horizontal="center"/>
    </xf>
    <xf numFmtId="164" fontId="23" fillId="70" borderId="27" xfId="204" applyFont="1" applyFill="1" applyBorder="1" applyAlignment="1">
      <alignment horizontal="center"/>
    </xf>
    <xf numFmtId="0" fontId="23" fillId="0" borderId="34" xfId="0" applyFont="1" applyFill="1" applyBorder="1" applyAlignment="1">
      <alignment vertical="center"/>
    </xf>
    <xf numFmtId="4" fontId="128" fillId="0" borderId="0" xfId="116" applyNumberFormat="1" applyFont="1" applyBorder="1" applyAlignment="1" applyProtection="1">
      <alignment horizontal="right" vertical="top" shrinkToFit="1"/>
    </xf>
    <xf numFmtId="0" fontId="23" fillId="0" borderId="34" xfId="0" applyFont="1" applyFill="1" applyBorder="1" applyAlignment="1">
      <alignment vertical="center"/>
    </xf>
    <xf numFmtId="0" fontId="32" fillId="70" borderId="38" xfId="0" quotePrefix="1" applyFont="1" applyFill="1" applyBorder="1" applyAlignment="1">
      <alignment horizontal="center" vertical="center" wrapText="1"/>
    </xf>
    <xf numFmtId="0" fontId="138" fillId="70" borderId="38" xfId="0" applyNumberFormat="1" applyFont="1" applyFill="1" applyBorder="1" applyAlignment="1">
      <alignment horizontal="center" vertical="center" wrapText="1"/>
    </xf>
    <xf numFmtId="0" fontId="29" fillId="70" borderId="38" xfId="0" applyFont="1" applyFill="1" applyBorder="1" applyAlignment="1">
      <alignment horizontal="center" vertical="center" wrapText="1"/>
    </xf>
    <xf numFmtId="4" fontId="29" fillId="70" borderId="38" xfId="0" applyNumberFormat="1" applyFont="1" applyFill="1" applyBorder="1" applyAlignment="1">
      <alignment horizontal="center" vertical="center" wrapText="1"/>
    </xf>
    <xf numFmtId="4" fontId="31" fillId="70" borderId="38" xfId="0" applyNumberFormat="1" applyFont="1" applyFill="1" applyBorder="1" applyAlignment="1">
      <alignment horizontal="center" vertical="center" wrapText="1"/>
    </xf>
    <xf numFmtId="164" fontId="31" fillId="70" borderId="38" xfId="204" applyNumberFormat="1" applyFont="1" applyFill="1" applyBorder="1" applyAlignment="1">
      <alignment vertical="center"/>
    </xf>
    <xf numFmtId="0" fontId="23" fillId="67" borderId="15" xfId="0" applyFont="1" applyFill="1" applyBorder="1" applyAlignment="1">
      <alignment horizontal="center" vertical="center"/>
    </xf>
    <xf numFmtId="0" fontId="23" fillId="70" borderId="11" xfId="0" applyFont="1" applyFill="1" applyBorder="1" applyAlignment="1">
      <alignment horizontal="center" vertical="center"/>
    </xf>
    <xf numFmtId="0" fontId="23" fillId="67" borderId="11" xfId="0" applyFont="1" applyFill="1" applyBorder="1" applyAlignment="1">
      <alignment horizontal="center" vertical="center"/>
    </xf>
    <xf numFmtId="0" fontId="23" fillId="68" borderId="15" xfId="0" applyFont="1" applyFill="1" applyBorder="1" applyAlignment="1">
      <alignment horizontal="center" vertical="center"/>
    </xf>
    <xf numFmtId="0" fontId="23" fillId="68" borderId="11" xfId="0" applyFont="1" applyFill="1" applyBorder="1" applyAlignment="1">
      <alignment horizontal="center" vertical="center"/>
    </xf>
    <xf numFmtId="164" fontId="114" fillId="67" borderId="48" xfId="204" applyFont="1" applyFill="1" applyBorder="1" applyAlignment="1">
      <alignment horizontal="center"/>
    </xf>
    <xf numFmtId="164" fontId="114" fillId="68" borderId="27" xfId="204" applyFont="1" applyFill="1" applyBorder="1" applyAlignment="1">
      <alignment horizontal="center"/>
    </xf>
    <xf numFmtId="164" fontId="114" fillId="68" borderId="25" xfId="204" applyFont="1" applyFill="1" applyBorder="1" applyAlignment="1">
      <alignment horizontal="center"/>
    </xf>
    <xf numFmtId="164" fontId="23" fillId="70" borderId="14" xfId="204" applyFont="1" applyFill="1" applyBorder="1" applyAlignment="1"/>
    <xf numFmtId="164" fontId="23" fillId="68" borderId="24" xfId="204" applyFont="1" applyFill="1" applyBorder="1" applyAlignment="1"/>
    <xf numFmtId="164" fontId="23" fillId="0" borderId="47" xfId="204" applyFont="1" applyFill="1" applyBorder="1" applyAlignment="1"/>
    <xf numFmtId="164" fontId="23" fillId="67" borderId="47" xfId="204" applyFont="1" applyFill="1" applyBorder="1" applyAlignment="1"/>
    <xf numFmtId="164" fontId="23" fillId="70" borderId="31" xfId="204" applyFont="1" applyFill="1" applyBorder="1" applyAlignment="1"/>
    <xf numFmtId="164" fontId="23" fillId="68" borderId="47" xfId="204" applyFont="1" applyFill="1" applyBorder="1" applyAlignment="1"/>
    <xf numFmtId="164" fontId="114" fillId="67" borderId="23" xfId="204" applyFont="1" applyFill="1" applyBorder="1" applyAlignment="1">
      <alignment horizontal="center"/>
    </xf>
    <xf numFmtId="164" fontId="118" fillId="51" borderId="58" xfId="204" applyFont="1" applyFill="1" applyBorder="1" applyAlignment="1" applyProtection="1">
      <alignment horizontal="right" vertical="top" shrinkToFit="1"/>
    </xf>
    <xf numFmtId="49" fontId="32" fillId="0" borderId="38" xfId="0" applyNumberFormat="1" applyFont="1" applyBorder="1" applyAlignment="1">
      <alignment horizontal="center" vertical="center" wrapText="1"/>
    </xf>
    <xf numFmtId="0" fontId="18" fillId="0" borderId="15" xfId="0" applyFont="1" applyFill="1" applyBorder="1" applyAlignment="1">
      <alignment horizontal="center" vertical="center" wrapText="1"/>
    </xf>
    <xf numFmtId="0" fontId="18" fillId="0" borderId="31" xfId="0" applyFont="1" applyFill="1" applyBorder="1" applyAlignment="1">
      <alignment horizontal="center" vertical="center" wrapText="1"/>
    </xf>
    <xf numFmtId="164" fontId="29" fillId="0" borderId="0" xfId="204" applyFont="1" applyAlignment="1">
      <alignment horizontal="center" vertical="center" wrapText="1"/>
    </xf>
    <xf numFmtId="164" fontId="29" fillId="0" borderId="0" xfId="204" applyFont="1" applyAlignment="1">
      <alignment horizontal="center" vertical="center"/>
    </xf>
    <xf numFmtId="165" fontId="61" fillId="0" borderId="0" xfId="204" applyNumberFormat="1" applyFont="1" applyFill="1" applyAlignment="1">
      <alignment horizontal="center" vertical="center" wrapText="1"/>
    </xf>
    <xf numFmtId="0" fontId="32" fillId="67" borderId="38" xfId="0" applyFont="1" applyFill="1" applyBorder="1" applyAlignment="1">
      <alignment horizontal="center" vertical="center" wrapText="1"/>
    </xf>
    <xf numFmtId="0" fontId="7" fillId="0" borderId="41" xfId="0" applyFont="1" applyFill="1" applyBorder="1" applyAlignment="1">
      <alignment horizontal="center" vertical="center" wrapText="1"/>
    </xf>
    <xf numFmtId="4" fontId="118" fillId="0" borderId="58" xfId="104" applyNumberFormat="1" applyFont="1" applyBorder="1" applyAlignment="1" applyProtection="1">
      <alignment horizontal="right" vertical="center" shrinkToFit="1"/>
    </xf>
    <xf numFmtId="164" fontId="115" fillId="0" borderId="38" xfId="0" applyNumberFormat="1" applyFont="1" applyFill="1" applyBorder="1" applyAlignment="1">
      <alignment vertical="center"/>
    </xf>
    <xf numFmtId="0" fontId="32" fillId="67" borderId="38" xfId="0" applyNumberFormat="1" applyFont="1" applyFill="1" applyBorder="1" applyAlignment="1">
      <alignment horizontal="center" vertical="center" wrapText="1"/>
    </xf>
    <xf numFmtId="0" fontId="7" fillId="67" borderId="41" xfId="0" applyFont="1" applyFill="1" applyBorder="1" applyAlignment="1">
      <alignment horizontal="center" vertical="center" wrapText="1"/>
    </xf>
    <xf numFmtId="164" fontId="115" fillId="67" borderId="38" xfId="0" applyNumberFormat="1" applyFont="1" applyFill="1" applyBorder="1" applyAlignment="1">
      <alignment vertical="center"/>
    </xf>
    <xf numFmtId="164" fontId="115" fillId="0" borderId="0" xfId="0" applyNumberFormat="1" applyFont="1" applyAlignment="1">
      <alignment vertical="center"/>
    </xf>
    <xf numFmtId="0" fontId="18" fillId="0" borderId="29" xfId="0" applyFont="1" applyFill="1" applyBorder="1" applyAlignment="1">
      <alignment vertical="center" wrapText="1"/>
    </xf>
    <xf numFmtId="0" fontId="18" fillId="70" borderId="11" xfId="0" applyFont="1" applyFill="1" applyBorder="1" applyAlignment="1">
      <alignment horizontal="center"/>
    </xf>
    <xf numFmtId="0" fontId="18" fillId="70" borderId="12" xfId="0" applyFont="1" applyFill="1" applyBorder="1" applyAlignment="1">
      <alignment horizontal="center"/>
    </xf>
    <xf numFmtId="0" fontId="18" fillId="70" borderId="43" xfId="0" applyFont="1" applyFill="1" applyBorder="1" applyAlignment="1">
      <alignment horizontal="center"/>
    </xf>
    <xf numFmtId="0" fontId="18" fillId="70" borderId="15" xfId="0" applyFont="1" applyFill="1" applyBorder="1" applyAlignment="1">
      <alignment horizontal="center"/>
    </xf>
    <xf numFmtId="0" fontId="18" fillId="70" borderId="14" xfId="0" applyFont="1" applyFill="1" applyBorder="1" applyAlignment="1">
      <alignment horizontal="center"/>
    </xf>
    <xf numFmtId="0" fontId="18" fillId="70" borderId="34" xfId="0" applyFont="1" applyFill="1" applyBorder="1" applyAlignment="1">
      <alignment horizontal="center"/>
    </xf>
    <xf numFmtId="0" fontId="18" fillId="70" borderId="36" xfId="0" applyFont="1" applyFill="1" applyBorder="1" applyAlignment="1">
      <alignment horizontal="center"/>
    </xf>
    <xf numFmtId="0" fontId="18" fillId="0" borderId="43" xfId="0" applyFont="1" applyFill="1" applyBorder="1" applyAlignment="1">
      <alignment horizontal="center"/>
    </xf>
    <xf numFmtId="164" fontId="21" fillId="70" borderId="33" xfId="204" applyNumberFormat="1" applyFont="1" applyFill="1" applyBorder="1" applyAlignment="1">
      <alignment horizontal="center"/>
    </xf>
    <xf numFmtId="164" fontId="140" fillId="0" borderId="13" xfId="0" applyNumberFormat="1" applyFont="1" applyFill="1" applyBorder="1"/>
    <xf numFmtId="164" fontId="21" fillId="70" borderId="16" xfId="204" applyNumberFormat="1" applyFont="1" applyFill="1" applyBorder="1" applyAlignment="1">
      <alignment horizontal="center"/>
    </xf>
    <xf numFmtId="164" fontId="21" fillId="70" borderId="17" xfId="204" applyNumberFormat="1" applyFont="1" applyFill="1" applyBorder="1" applyAlignment="1">
      <alignment horizontal="center"/>
    </xf>
    <xf numFmtId="164" fontId="21" fillId="70" borderId="19" xfId="204" applyNumberFormat="1" applyFont="1" applyFill="1" applyBorder="1" applyAlignment="1">
      <alignment horizontal="center"/>
    </xf>
    <xf numFmtId="164" fontId="21" fillId="0" borderId="12" xfId="204" applyNumberFormat="1" applyFont="1" applyFill="1" applyBorder="1" applyAlignment="1">
      <alignment horizontal="center"/>
    </xf>
    <xf numFmtId="164" fontId="21" fillId="70" borderId="11" xfId="204" applyNumberFormat="1" applyFont="1" applyFill="1" applyBorder="1" applyAlignment="1">
      <alignment horizontal="center"/>
    </xf>
    <xf numFmtId="164" fontId="21" fillId="70" borderId="12" xfId="204" applyNumberFormat="1" applyFont="1" applyFill="1" applyBorder="1" applyAlignment="1">
      <alignment horizontal="center"/>
    </xf>
    <xf numFmtId="164" fontId="21" fillId="0" borderId="43" xfId="204" applyNumberFormat="1" applyFont="1" applyFill="1" applyBorder="1" applyAlignment="1">
      <alignment horizontal="center"/>
    </xf>
    <xf numFmtId="164" fontId="21" fillId="70" borderId="43" xfId="204" applyNumberFormat="1" applyFont="1" applyFill="1" applyBorder="1" applyAlignment="1">
      <alignment horizontal="center"/>
    </xf>
    <xf numFmtId="164" fontId="21" fillId="70" borderId="15" xfId="204" applyNumberFormat="1" applyFont="1" applyFill="1" applyBorder="1" applyAlignment="1">
      <alignment horizontal="center"/>
    </xf>
    <xf numFmtId="164" fontId="21" fillId="0" borderId="0" xfId="204" applyNumberFormat="1" applyFont="1" applyFill="1" applyBorder="1" applyAlignment="1">
      <alignment horizontal="center"/>
    </xf>
    <xf numFmtId="164" fontId="21" fillId="70" borderId="31" xfId="204" applyNumberFormat="1" applyFont="1" applyFill="1" applyBorder="1" applyAlignment="1">
      <alignment horizontal="center"/>
    </xf>
    <xf numFmtId="164" fontId="21" fillId="70" borderId="0" xfId="204" applyNumberFormat="1" applyFont="1" applyFill="1" applyBorder="1" applyAlignment="1">
      <alignment horizontal="center"/>
    </xf>
    <xf numFmtId="164" fontId="21" fillId="0" borderId="47" xfId="204" applyNumberFormat="1" applyFont="1" applyFill="1" applyBorder="1" applyAlignment="1">
      <alignment horizontal="center"/>
    </xf>
    <xf numFmtId="164" fontId="21" fillId="70" borderId="18" xfId="204" applyNumberFormat="1" applyFont="1" applyFill="1" applyBorder="1" applyAlignment="1">
      <alignment horizontal="center"/>
    </xf>
    <xf numFmtId="164" fontId="21" fillId="70" borderId="21" xfId="204" applyNumberFormat="1" applyFont="1" applyFill="1" applyBorder="1" applyAlignment="1">
      <alignment horizontal="center"/>
    </xf>
    <xf numFmtId="164" fontId="21" fillId="70" borderId="22" xfId="204" applyNumberFormat="1" applyFont="1" applyFill="1" applyBorder="1" applyAlignment="1">
      <alignment horizontal="center"/>
    </xf>
    <xf numFmtId="164" fontId="21" fillId="70" borderId="23" xfId="204" applyNumberFormat="1" applyFont="1" applyFill="1" applyBorder="1" applyAlignment="1">
      <alignment horizontal="center"/>
    </xf>
    <xf numFmtId="164" fontId="21" fillId="70" borderId="20" xfId="204" applyNumberFormat="1" applyFont="1" applyFill="1" applyBorder="1" applyAlignment="1">
      <alignment horizontal="center"/>
    </xf>
    <xf numFmtId="164" fontId="21" fillId="0" borderId="32" xfId="204" applyNumberFormat="1" applyFont="1" applyFill="1" applyBorder="1" applyAlignment="1">
      <alignment horizontal="center"/>
    </xf>
    <xf numFmtId="164" fontId="21" fillId="70" borderId="47" xfId="204" applyNumberFormat="1" applyFont="1" applyFill="1" applyBorder="1" applyAlignment="1">
      <alignment horizontal="center"/>
    </xf>
    <xf numFmtId="164" fontId="21" fillId="70" borderId="13" xfId="204" applyNumberFormat="1" applyFont="1" applyFill="1" applyBorder="1" applyAlignment="1">
      <alignment horizontal="center"/>
    </xf>
    <xf numFmtId="164" fontId="21" fillId="70" borderId="25" xfId="204" applyNumberFormat="1" applyFont="1" applyFill="1" applyBorder="1" applyAlignment="1">
      <alignment horizontal="center"/>
    </xf>
    <xf numFmtId="164" fontId="21" fillId="70" borderId="26" xfId="204" applyNumberFormat="1" applyFont="1" applyFill="1" applyBorder="1" applyAlignment="1">
      <alignment horizontal="center"/>
    </xf>
    <xf numFmtId="164" fontId="21" fillId="70" borderId="28" xfId="204" applyNumberFormat="1" applyFont="1" applyFill="1" applyBorder="1" applyAlignment="1">
      <alignment horizontal="center"/>
    </xf>
    <xf numFmtId="164" fontId="21" fillId="70" borderId="29" xfId="204" applyNumberFormat="1" applyFont="1" applyFill="1" applyBorder="1" applyAlignment="1">
      <alignment horizontal="center"/>
    </xf>
    <xf numFmtId="164" fontId="21" fillId="70" borderId="30" xfId="204" applyNumberFormat="1" applyFont="1" applyFill="1" applyBorder="1" applyAlignment="1">
      <alignment horizontal="center"/>
    </xf>
    <xf numFmtId="164" fontId="21" fillId="70" borderId="44" xfId="204" applyNumberFormat="1" applyFont="1" applyFill="1" applyBorder="1" applyAlignment="1">
      <alignment horizontal="center"/>
    </xf>
    <xf numFmtId="164" fontId="21" fillId="70" borderId="27" xfId="204" applyNumberFormat="1" applyFont="1" applyFill="1" applyBorder="1" applyAlignment="1">
      <alignment horizontal="center"/>
    </xf>
    <xf numFmtId="164" fontId="17" fillId="70" borderId="14" xfId="204" applyNumberFormat="1" applyFont="1" applyFill="1" applyBorder="1" applyAlignment="1"/>
    <xf numFmtId="164" fontId="17" fillId="70" borderId="29" xfId="204" applyNumberFormat="1" applyFont="1" applyFill="1" applyBorder="1" applyAlignment="1"/>
    <xf numFmtId="164" fontId="17" fillId="70" borderId="30" xfId="204" applyNumberFormat="1" applyFont="1" applyFill="1" applyBorder="1" applyAlignment="1"/>
    <xf numFmtId="164" fontId="17" fillId="70" borderId="44" xfId="204" applyNumberFormat="1" applyFont="1" applyFill="1" applyBorder="1" applyAlignment="1"/>
    <xf numFmtId="164" fontId="17" fillId="70" borderId="34" xfId="204" applyNumberFormat="1" applyFont="1" applyFill="1" applyBorder="1" applyAlignment="1"/>
    <xf numFmtId="164" fontId="17" fillId="70" borderId="36" xfId="204" applyNumberFormat="1" applyFont="1" applyFill="1" applyBorder="1" applyAlignment="1"/>
    <xf numFmtId="164" fontId="17" fillId="70" borderId="46" xfId="204" applyNumberFormat="1" applyFont="1" applyFill="1" applyBorder="1" applyAlignment="1"/>
    <xf numFmtId="164" fontId="17" fillId="70" borderId="24" xfId="204" applyNumberFormat="1" applyFont="1" applyFill="1" applyBorder="1" applyAlignment="1"/>
    <xf numFmtId="165" fontId="17" fillId="70" borderId="31" xfId="204" applyNumberFormat="1" applyFont="1" applyFill="1" applyBorder="1" applyAlignment="1"/>
    <xf numFmtId="164" fontId="17" fillId="70" borderId="33" xfId="204" applyNumberFormat="1" applyFont="1" applyFill="1" applyBorder="1" applyAlignment="1"/>
    <xf numFmtId="164" fontId="17" fillId="70" borderId="32" xfId="204" applyNumberFormat="1" applyFont="1" applyFill="1" applyBorder="1" applyAlignment="1"/>
    <xf numFmtId="164" fontId="17" fillId="70" borderId="48" xfId="204" applyNumberFormat="1" applyFont="1" applyFill="1" applyBorder="1" applyAlignment="1"/>
    <xf numFmtId="164" fontId="17" fillId="70" borderId="37" xfId="204" applyNumberFormat="1" applyFont="1" applyFill="1" applyBorder="1" applyAlignment="1"/>
    <xf numFmtId="164" fontId="17" fillId="70" borderId="31" xfId="204" applyNumberFormat="1" applyFont="1" applyFill="1" applyBorder="1" applyAlignment="1"/>
    <xf numFmtId="164" fontId="17" fillId="70" borderId="0" xfId="204" applyNumberFormat="1" applyFont="1" applyFill="1" applyBorder="1" applyAlignment="1"/>
    <xf numFmtId="164" fontId="17" fillId="0" borderId="0" xfId="204" applyNumberFormat="1" applyFont="1" applyFill="1" applyBorder="1" applyAlignment="1"/>
    <xf numFmtId="164" fontId="17" fillId="0" borderId="43" xfId="204" applyNumberFormat="1" applyFont="1" applyFill="1" applyBorder="1" applyAlignment="1"/>
    <xf numFmtId="164" fontId="17" fillId="70" borderId="13" xfId="204" applyNumberFormat="1" applyFont="1" applyFill="1" applyBorder="1" applyAlignment="1"/>
    <xf numFmtId="164" fontId="17" fillId="0" borderId="19" xfId="204" applyNumberFormat="1" applyFont="1" applyFill="1" applyBorder="1" applyAlignment="1"/>
    <xf numFmtId="164" fontId="21" fillId="70" borderId="32" xfId="204" applyNumberFormat="1" applyFont="1" applyFill="1" applyBorder="1" applyAlignment="1">
      <alignment horizontal="center"/>
    </xf>
    <xf numFmtId="164" fontId="21" fillId="70" borderId="48" xfId="204" applyNumberFormat="1" applyFont="1" applyFill="1" applyBorder="1" applyAlignment="1">
      <alignment horizontal="center"/>
    </xf>
    <xf numFmtId="164" fontId="17" fillId="70" borderId="11" xfId="204" applyNumberFormat="1" applyFont="1" applyFill="1" applyBorder="1" applyAlignment="1"/>
    <xf numFmtId="164" fontId="17" fillId="70" borderId="12" xfId="204" applyNumberFormat="1" applyFont="1" applyFill="1" applyBorder="1" applyAlignment="1"/>
    <xf numFmtId="164" fontId="17" fillId="70" borderId="43" xfId="204" applyNumberFormat="1" applyFont="1" applyFill="1" applyBorder="1" applyAlignment="1"/>
    <xf numFmtId="164" fontId="17" fillId="70" borderId="15" xfId="204" applyNumberFormat="1" applyFont="1" applyFill="1" applyBorder="1" applyAlignment="1"/>
    <xf numFmtId="0" fontId="25" fillId="70" borderId="11" xfId="0" applyFont="1" applyFill="1" applyBorder="1"/>
    <xf numFmtId="0" fontId="25" fillId="70" borderId="43" xfId="0" applyFont="1" applyFill="1" applyBorder="1"/>
    <xf numFmtId="0" fontId="25" fillId="70" borderId="15" xfId="0" applyFont="1" applyFill="1" applyBorder="1"/>
    <xf numFmtId="0" fontId="25" fillId="70" borderId="12" xfId="0" applyFont="1" applyFill="1" applyBorder="1"/>
    <xf numFmtId="164" fontId="25" fillId="0" borderId="43" xfId="0" applyNumberFormat="1" applyFont="1" applyFill="1" applyBorder="1"/>
    <xf numFmtId="0" fontId="25" fillId="70" borderId="29" xfId="0" applyFont="1" applyFill="1" applyBorder="1"/>
    <xf numFmtId="0" fontId="25" fillId="70" borderId="44" xfId="0" applyFont="1" applyFill="1" applyBorder="1"/>
    <xf numFmtId="0" fontId="25" fillId="70" borderId="24" xfId="0" applyFont="1" applyFill="1" applyBorder="1"/>
    <xf numFmtId="0" fontId="25" fillId="70" borderId="30" xfId="0" applyFont="1" applyFill="1" applyBorder="1"/>
    <xf numFmtId="164" fontId="25" fillId="0" borderId="44" xfId="0" applyNumberFormat="1" applyFont="1" applyFill="1" applyBorder="1"/>
    <xf numFmtId="164" fontId="17" fillId="70" borderId="25" xfId="204" applyNumberFormat="1" applyFont="1" applyFill="1" applyBorder="1" applyAlignment="1">
      <alignment horizontal="center"/>
    </xf>
    <xf numFmtId="164" fontId="17" fillId="70" borderId="29" xfId="204" applyNumberFormat="1" applyFont="1" applyFill="1" applyBorder="1" applyAlignment="1">
      <alignment horizontal="center"/>
    </xf>
    <xf numFmtId="164" fontId="17" fillId="70" borderId="44" xfId="204" applyNumberFormat="1" applyFont="1" applyFill="1" applyBorder="1" applyAlignment="1">
      <alignment horizontal="center"/>
    </xf>
    <xf numFmtId="164" fontId="17" fillId="70" borderId="24" xfId="204" applyNumberFormat="1" applyFont="1" applyFill="1" applyBorder="1" applyAlignment="1">
      <alignment horizontal="center"/>
    </xf>
    <xf numFmtId="164" fontId="17" fillId="70" borderId="30" xfId="204" applyNumberFormat="1" applyFont="1" applyFill="1" applyBorder="1" applyAlignment="1">
      <alignment horizontal="center"/>
    </xf>
    <xf numFmtId="164" fontId="17" fillId="0" borderId="46" xfId="204" applyNumberFormat="1" applyFont="1" applyFill="1" applyBorder="1" applyAlignment="1">
      <alignment horizontal="center"/>
    </xf>
    <xf numFmtId="164" fontId="141" fillId="0" borderId="0" xfId="0" applyNumberFormat="1" applyFont="1" applyFill="1"/>
    <xf numFmtId="0" fontId="141" fillId="0" borderId="0" xfId="0" applyFont="1" applyFill="1"/>
    <xf numFmtId="164" fontId="141" fillId="0" borderId="0" xfId="0" applyNumberFormat="1" applyFont="1" applyFill="1" applyAlignment="1">
      <alignment horizontal="center" vertical="center" wrapText="1"/>
    </xf>
    <xf numFmtId="0" fontId="141" fillId="0" borderId="0" xfId="0" applyFont="1" applyFill="1" applyAlignment="1">
      <alignment horizontal="center" vertical="center" wrapText="1"/>
    </xf>
    <xf numFmtId="164" fontId="6" fillId="0" borderId="38" xfId="0" applyNumberFormat="1" applyFont="1" applyFill="1" applyBorder="1" applyAlignment="1">
      <alignment vertical="center" wrapText="1"/>
    </xf>
    <xf numFmtId="164" fontId="142" fillId="0" borderId="38" xfId="204" applyNumberFormat="1" applyFont="1" applyFill="1" applyBorder="1" applyAlignment="1">
      <alignment horizontal="center" vertical="center"/>
    </xf>
    <xf numFmtId="0" fontId="5" fillId="0" borderId="38" xfId="0" applyFont="1" applyFill="1" applyBorder="1" applyAlignment="1">
      <alignment horizontal="center" wrapText="1"/>
    </xf>
    <xf numFmtId="164" fontId="142" fillId="0" borderId="38" xfId="0" applyNumberFormat="1" applyFont="1" applyFill="1" applyBorder="1"/>
    <xf numFmtId="164" fontId="21" fillId="70" borderId="24" xfId="204" applyNumberFormat="1" applyFont="1" applyFill="1" applyBorder="1" applyAlignment="1">
      <alignment horizontal="center"/>
    </xf>
    <xf numFmtId="164" fontId="120" fillId="70" borderId="0" xfId="0" applyNumberFormat="1" applyFont="1" applyFill="1"/>
    <xf numFmtId="0" fontId="5" fillId="0" borderId="34" xfId="0" applyFont="1" applyFill="1" applyBorder="1" applyAlignment="1">
      <alignment vertical="center" wrapText="1"/>
    </xf>
    <xf numFmtId="0" fontId="17" fillId="0" borderId="34" xfId="0" applyFont="1" applyFill="1" applyBorder="1" applyAlignment="1">
      <alignment vertical="center" wrapText="1"/>
    </xf>
    <xf numFmtId="0" fontId="23" fillId="0" borderId="0" xfId="0" applyFont="1" applyFill="1" applyAlignment="1">
      <alignment horizontal="center" vertical="center"/>
    </xf>
    <xf numFmtId="0" fontId="23" fillId="0" borderId="34" xfId="0" applyFont="1" applyFill="1" applyBorder="1" applyAlignment="1">
      <alignment vertical="center"/>
    </xf>
    <xf numFmtId="0" fontId="23" fillId="0" borderId="43" xfId="0" applyFont="1" applyFill="1" applyBorder="1" applyAlignment="1">
      <alignment horizontal="center" vertical="center" wrapText="1"/>
    </xf>
    <xf numFmtId="0" fontId="23" fillId="67" borderId="15" xfId="0" applyFont="1" applyFill="1" applyBorder="1" applyAlignment="1">
      <alignment horizontal="center" vertical="center" wrapText="1"/>
    </xf>
    <xf numFmtId="164" fontId="29" fillId="0" borderId="38" xfId="204" applyNumberFormat="1" applyFont="1" applyFill="1" applyBorder="1" applyAlignment="1">
      <alignment horizontal="center" vertical="center" wrapText="1"/>
    </xf>
    <xf numFmtId="164" fontId="114" fillId="0" borderId="0" xfId="0" applyNumberFormat="1" applyFont="1" applyFill="1" applyBorder="1" applyAlignment="1">
      <alignment horizontal="center" vertical="center"/>
    </xf>
    <xf numFmtId="0" fontId="23" fillId="70" borderId="12" xfId="0" applyFont="1" applyFill="1" applyBorder="1" applyAlignment="1">
      <alignment horizontal="center" vertical="center"/>
    </xf>
    <xf numFmtId="164" fontId="23" fillId="67" borderId="18" xfId="204" applyFont="1" applyFill="1" applyBorder="1" applyAlignment="1">
      <alignment horizontal="center" wrapText="1" shrinkToFit="1"/>
    </xf>
    <xf numFmtId="164" fontId="23" fillId="70" borderId="16" xfId="204" applyFont="1" applyFill="1" applyBorder="1" applyAlignment="1">
      <alignment horizontal="center" wrapText="1" shrinkToFit="1"/>
    </xf>
    <xf numFmtId="164" fontId="23" fillId="67" borderId="20" xfId="204" applyFont="1" applyFill="1" applyBorder="1" applyAlignment="1">
      <alignment horizontal="center" wrapText="1" shrinkToFit="1"/>
    </xf>
    <xf numFmtId="164" fontId="23" fillId="70" borderId="21" xfId="204" applyFont="1" applyFill="1" applyBorder="1" applyAlignment="1">
      <alignment horizontal="center" wrapText="1" shrinkToFit="1"/>
    </xf>
    <xf numFmtId="164" fontId="23" fillId="67" borderId="27" xfId="204" applyFont="1" applyFill="1" applyBorder="1" applyAlignment="1">
      <alignment horizontal="center" wrapText="1" shrinkToFit="1"/>
    </xf>
    <xf numFmtId="164" fontId="23" fillId="70" borderId="25" xfId="204" applyFont="1" applyFill="1" applyBorder="1" applyAlignment="1">
      <alignment horizontal="center" wrapText="1" shrinkToFit="1"/>
    </xf>
    <xf numFmtId="164" fontId="23" fillId="67" borderId="37" xfId="204" applyFont="1" applyFill="1" applyBorder="1" applyAlignment="1">
      <alignment horizontal="center" wrapText="1" shrinkToFit="1"/>
    </xf>
    <xf numFmtId="164" fontId="23" fillId="70" borderId="33" xfId="204" applyFont="1" applyFill="1" applyBorder="1" applyAlignment="1">
      <alignment horizontal="center" wrapText="1" shrinkToFit="1"/>
    </xf>
    <xf numFmtId="0" fontId="32" fillId="72" borderId="38" xfId="0" applyNumberFormat="1" applyFont="1" applyFill="1" applyBorder="1" applyAlignment="1">
      <alignment vertical="center" wrapText="1"/>
    </xf>
    <xf numFmtId="4" fontId="116" fillId="0" borderId="56" xfId="209" applyNumberFormat="1" applyFont="1" applyFill="1" applyProtection="1">
      <alignment horizontal="right" shrinkToFit="1"/>
    </xf>
    <xf numFmtId="0" fontId="17" fillId="0" borderId="46" xfId="0" applyFont="1" applyFill="1" applyBorder="1" applyAlignment="1">
      <alignment vertical="center" wrapText="1"/>
    </xf>
    <xf numFmtId="0" fontId="18" fillId="0" borderId="36" xfId="0" applyFont="1" applyFill="1" applyBorder="1" applyAlignment="1">
      <alignment horizontal="center"/>
    </xf>
    <xf numFmtId="164" fontId="63" fillId="74" borderId="38" xfId="204" applyFont="1" applyFill="1" applyBorder="1" applyAlignment="1">
      <alignment vertical="center"/>
    </xf>
    <xf numFmtId="0" fontId="23" fillId="67" borderId="11" xfId="0" applyFont="1" applyFill="1" applyBorder="1" applyAlignment="1">
      <alignment horizontal="center" vertical="center" wrapText="1"/>
    </xf>
    <xf numFmtId="49" fontId="32" fillId="0" borderId="38" xfId="0" applyNumberFormat="1" applyFont="1" applyBorder="1" applyAlignment="1">
      <alignment horizontal="center" vertical="center" wrapText="1"/>
    </xf>
    <xf numFmtId="164" fontId="25" fillId="0" borderId="12" xfId="0" applyNumberFormat="1" applyFont="1" applyFill="1" applyBorder="1"/>
    <xf numFmtId="0" fontId="5" fillId="0" borderId="38" xfId="0" applyFont="1" applyFill="1" applyBorder="1" applyAlignment="1">
      <alignment horizontal="center"/>
    </xf>
    <xf numFmtId="0" fontId="5" fillId="0" borderId="0" xfId="0" applyFont="1" applyFill="1" applyBorder="1" applyAlignment="1">
      <alignment horizontal="center"/>
    </xf>
    <xf numFmtId="164" fontId="142" fillId="0" borderId="0" xfId="0" applyNumberFormat="1" applyFont="1" applyFill="1" applyBorder="1"/>
    <xf numFmtId="164" fontId="143" fillId="0" borderId="0" xfId="0" applyNumberFormat="1" applyFont="1" applyFill="1"/>
    <xf numFmtId="164" fontId="5" fillId="74" borderId="38" xfId="204" applyFont="1" applyFill="1" applyBorder="1"/>
    <xf numFmtId="4" fontId="125" fillId="0" borderId="19" xfId="48" applyFont="1" applyFill="1" applyBorder="1" applyAlignment="1" applyProtection="1">
      <alignment wrapText="1" shrinkToFit="1"/>
    </xf>
    <xf numFmtId="4" fontId="125" fillId="0" borderId="23" xfId="48" applyFont="1" applyFill="1" applyBorder="1" applyAlignment="1" applyProtection="1">
      <alignment wrapText="1" shrinkToFit="1"/>
    </xf>
    <xf numFmtId="4" fontId="125" fillId="0" borderId="23" xfId="48" applyFont="1" applyBorder="1" applyAlignment="1" applyProtection="1">
      <alignment wrapText="1" shrinkToFit="1"/>
    </xf>
    <xf numFmtId="4" fontId="125" fillId="0" borderId="28" xfId="48" applyFont="1" applyBorder="1" applyAlignment="1" applyProtection="1">
      <alignment wrapText="1" shrinkToFit="1"/>
    </xf>
    <xf numFmtId="164" fontId="23" fillId="0" borderId="29" xfId="204" applyFont="1" applyFill="1" applyBorder="1" applyAlignment="1">
      <alignment wrapText="1"/>
    </xf>
    <xf numFmtId="164" fontId="23" fillId="68" borderId="17" xfId="204" applyFont="1" applyFill="1" applyBorder="1" applyAlignment="1">
      <alignment horizontal="right" wrapText="1" shrinkToFit="1"/>
    </xf>
    <xf numFmtId="164" fontId="23" fillId="68" borderId="22" xfId="204" applyFont="1" applyFill="1" applyBorder="1" applyAlignment="1">
      <alignment horizontal="right" wrapText="1" shrinkToFit="1"/>
    </xf>
    <xf numFmtId="164" fontId="23" fillId="68" borderId="26" xfId="204" applyFont="1" applyFill="1" applyBorder="1" applyAlignment="1">
      <alignment horizontal="right" wrapText="1" shrinkToFit="1"/>
    </xf>
    <xf numFmtId="164" fontId="23" fillId="27" borderId="22" xfId="204" applyFont="1" applyFill="1" applyBorder="1" applyAlignment="1">
      <alignment horizontal="right" wrapText="1" shrinkToFit="1"/>
    </xf>
    <xf numFmtId="164" fontId="23" fillId="27" borderId="26" xfId="204" applyFont="1" applyFill="1" applyBorder="1" applyAlignment="1">
      <alignment horizontal="right" wrapText="1" shrinkToFit="1"/>
    </xf>
    <xf numFmtId="164" fontId="24" fillId="67" borderId="50" xfId="204" applyFont="1" applyFill="1" applyBorder="1" applyAlignment="1">
      <alignment horizontal="center"/>
    </xf>
    <xf numFmtId="164" fontId="24" fillId="70" borderId="49" xfId="204" applyFont="1" applyFill="1" applyBorder="1" applyAlignment="1">
      <alignment horizontal="center"/>
    </xf>
    <xf numFmtId="164" fontId="24" fillId="67" borderId="35" xfId="204" applyFont="1" applyFill="1" applyBorder="1" applyAlignment="1">
      <alignment horizontal="center"/>
    </xf>
    <xf numFmtId="164" fontId="17" fillId="0" borderId="27" xfId="204" applyNumberFormat="1" applyFont="1" applyFill="1" applyBorder="1" applyAlignment="1">
      <alignment horizontal="center"/>
    </xf>
    <xf numFmtId="0" fontId="23" fillId="0" borderId="34" xfId="0" applyFont="1" applyFill="1" applyBorder="1" applyAlignment="1">
      <alignment vertical="center"/>
    </xf>
    <xf numFmtId="0" fontId="23" fillId="0" borderId="34" xfId="0" applyFont="1" applyFill="1" applyBorder="1" applyAlignment="1">
      <alignment vertical="center"/>
    </xf>
    <xf numFmtId="0" fontId="23" fillId="67" borderId="11" xfId="0" applyFont="1" applyFill="1" applyBorder="1" applyAlignment="1">
      <alignment horizontal="center" vertical="center" wrapText="1"/>
    </xf>
    <xf numFmtId="0" fontId="23" fillId="67" borderId="15" xfId="0" applyFont="1" applyFill="1" applyBorder="1" applyAlignment="1">
      <alignment horizontal="center" vertical="center" wrapText="1"/>
    </xf>
    <xf numFmtId="0" fontId="23" fillId="67" borderId="12" xfId="0" applyFont="1" applyFill="1" applyBorder="1" applyAlignment="1">
      <alignment horizontal="center" vertical="center" wrapText="1"/>
    </xf>
    <xf numFmtId="0" fontId="23" fillId="0" borderId="34" xfId="0" applyFont="1" applyFill="1" applyBorder="1" applyAlignment="1">
      <alignment vertical="center"/>
    </xf>
    <xf numFmtId="164" fontId="24" fillId="70" borderId="18" xfId="204" applyFont="1" applyFill="1" applyBorder="1" applyAlignment="1">
      <alignment horizontal="center"/>
    </xf>
    <xf numFmtId="164" fontId="24" fillId="70" borderId="27" xfId="204" applyFont="1" applyFill="1" applyBorder="1" applyAlignment="1">
      <alignment horizontal="center"/>
    </xf>
    <xf numFmtId="164" fontId="114" fillId="25" borderId="17" xfId="204" applyFont="1" applyFill="1" applyBorder="1" applyAlignment="1">
      <alignment horizontal="center"/>
    </xf>
    <xf numFmtId="164" fontId="24" fillId="70" borderId="50" xfId="204" applyFont="1" applyFill="1" applyBorder="1" applyAlignment="1">
      <alignment horizontal="center"/>
    </xf>
    <xf numFmtId="164" fontId="114" fillId="70" borderId="28" xfId="204" applyFont="1" applyFill="1" applyBorder="1" applyAlignment="1">
      <alignment horizontal="center"/>
    </xf>
    <xf numFmtId="164" fontId="7" fillId="0" borderId="0" xfId="204" applyFont="1" applyFill="1" applyAlignment="1">
      <alignment vertical="center"/>
    </xf>
    <xf numFmtId="4" fontId="114" fillId="0" borderId="0" xfId="41" applyNumberFormat="1" applyFont="1" applyBorder="1" applyProtection="1">
      <alignment horizontal="right" vertical="top" shrinkToFit="1"/>
    </xf>
    <xf numFmtId="164" fontId="124" fillId="73" borderId="57" xfId="204" applyFont="1" applyFill="1" applyBorder="1" applyAlignment="1" applyProtection="1">
      <alignment horizontal="right" vertical="center" shrinkToFit="1"/>
    </xf>
    <xf numFmtId="164" fontId="23" fillId="25" borderId="16" xfId="204" applyFont="1" applyFill="1" applyBorder="1" applyAlignment="1">
      <alignment horizontal="center"/>
    </xf>
    <xf numFmtId="164" fontId="23" fillId="70" borderId="18" xfId="204" applyFont="1" applyFill="1" applyBorder="1" applyAlignment="1">
      <alignment horizontal="center"/>
    </xf>
    <xf numFmtId="164" fontId="23" fillId="25" borderId="49" xfId="204" applyFont="1" applyFill="1" applyBorder="1" applyAlignment="1">
      <alignment horizontal="center"/>
    </xf>
    <xf numFmtId="164" fontId="23" fillId="70" borderId="50" xfId="204" applyFont="1" applyFill="1" applyBorder="1" applyAlignment="1">
      <alignment horizontal="center"/>
    </xf>
    <xf numFmtId="4" fontId="129" fillId="0" borderId="58" xfId="104" applyNumberFormat="1" applyFont="1" applyBorder="1" applyAlignment="1" applyProtection="1">
      <alignment horizontal="right" vertical="top" shrinkToFit="1"/>
    </xf>
    <xf numFmtId="164" fontId="17" fillId="0" borderId="17" xfId="204" applyNumberFormat="1" applyFont="1" applyFill="1" applyBorder="1" applyAlignment="1"/>
    <xf numFmtId="0" fontId="23" fillId="0" borderId="34" xfId="0" applyFont="1" applyFill="1" applyBorder="1" applyAlignment="1">
      <alignment vertical="center"/>
    </xf>
    <xf numFmtId="0" fontId="23" fillId="67" borderId="15" xfId="0" applyFont="1" applyFill="1" applyBorder="1" applyAlignment="1">
      <alignment horizontal="center" vertical="center" wrapText="1"/>
    </xf>
    <xf numFmtId="0" fontId="23" fillId="70" borderId="15" xfId="0" applyFont="1" applyFill="1" applyBorder="1" applyAlignment="1">
      <alignment horizontal="center" vertical="center" wrapText="1"/>
    </xf>
    <xf numFmtId="164" fontId="123" fillId="0" borderId="57" xfId="204" applyFont="1" applyBorder="1" applyAlignment="1" applyProtection="1">
      <alignment horizontal="right" vertical="top" shrinkToFit="1"/>
    </xf>
    <xf numFmtId="164" fontId="114" fillId="68" borderId="33" xfId="204" applyFont="1" applyFill="1" applyBorder="1" applyAlignment="1">
      <alignment horizontal="center" wrapText="1" shrinkToFit="1"/>
    </xf>
    <xf numFmtId="164" fontId="23" fillId="68" borderId="16" xfId="204" applyFont="1" applyFill="1" applyBorder="1" applyAlignment="1">
      <alignment horizontal="center" wrapText="1" shrinkToFit="1"/>
    </xf>
    <xf numFmtId="164" fontId="114" fillId="68" borderId="21" xfId="204" applyFont="1" applyFill="1" applyBorder="1" applyAlignment="1">
      <alignment horizontal="center" wrapText="1" shrinkToFit="1"/>
    </xf>
    <xf numFmtId="164" fontId="114" fillId="68" borderId="25" xfId="204" applyFont="1" applyFill="1" applyBorder="1" applyAlignment="1">
      <alignment horizontal="center" wrapText="1" shrinkToFit="1"/>
    </xf>
    <xf numFmtId="164" fontId="113" fillId="75" borderId="38" xfId="204" applyFont="1" applyFill="1" applyBorder="1" applyAlignment="1">
      <alignment horizontal="right" shrinkToFit="1"/>
    </xf>
    <xf numFmtId="164" fontId="20" fillId="0" borderId="0" xfId="0" applyNumberFormat="1" applyFont="1" applyFill="1"/>
    <xf numFmtId="0" fontId="23" fillId="0" borderId="34" xfId="0" applyFont="1" applyFill="1" applyBorder="1" applyAlignment="1">
      <alignment vertical="center"/>
    </xf>
    <xf numFmtId="0" fontId="23" fillId="0" borderId="34" xfId="0" applyFont="1" applyFill="1" applyBorder="1" applyAlignment="1">
      <alignment vertical="center"/>
    </xf>
    <xf numFmtId="0" fontId="23" fillId="0" borderId="0" xfId="0" applyFont="1" applyFill="1" applyBorder="1" applyAlignment="1">
      <alignment horizontal="center" vertical="center" wrapText="1"/>
    </xf>
    <xf numFmtId="0" fontId="23" fillId="0" borderId="34" xfId="0" applyFont="1" applyFill="1" applyBorder="1" applyAlignment="1">
      <alignment vertical="center"/>
    </xf>
    <xf numFmtId="3" fontId="23" fillId="25" borderId="29" xfId="0" applyNumberFormat="1" applyFont="1" applyFill="1" applyBorder="1" applyAlignment="1">
      <alignment horizontal="center" vertical="center"/>
    </xf>
    <xf numFmtId="0" fontId="23" fillId="0" borderId="43" xfId="0" applyFont="1" applyFill="1" applyBorder="1" applyAlignment="1">
      <alignment horizontal="center" vertical="center"/>
    </xf>
    <xf numFmtId="0" fontId="23" fillId="0" borderId="45" xfId="0" applyFont="1" applyFill="1" applyBorder="1" applyAlignment="1">
      <alignment horizontal="center" vertical="center" wrapText="1"/>
    </xf>
    <xf numFmtId="3" fontId="23" fillId="25" borderId="31" xfId="0" applyNumberFormat="1" applyFont="1" applyFill="1" applyBorder="1" applyAlignment="1">
      <alignment horizontal="center" vertical="center"/>
    </xf>
    <xf numFmtId="164" fontId="24" fillId="67" borderId="48" xfId="204" applyFont="1" applyFill="1" applyBorder="1" applyAlignment="1">
      <alignment horizontal="center"/>
    </xf>
    <xf numFmtId="0" fontId="23" fillId="27" borderId="31" xfId="0" applyFont="1" applyFill="1" applyBorder="1" applyAlignment="1">
      <alignment horizontal="center" vertical="center"/>
    </xf>
    <xf numFmtId="164" fontId="114" fillId="0" borderId="19" xfId="204" applyFont="1" applyFill="1" applyBorder="1" applyAlignment="1">
      <alignment horizontal="center"/>
    </xf>
    <xf numFmtId="164" fontId="114" fillId="0" borderId="23" xfId="204" applyFont="1" applyFill="1" applyBorder="1" applyAlignment="1">
      <alignment horizontal="center"/>
    </xf>
    <xf numFmtId="164" fontId="114" fillId="0" borderId="28" xfId="204" applyFont="1" applyFill="1" applyBorder="1" applyAlignment="1">
      <alignment horizontal="center"/>
    </xf>
    <xf numFmtId="164" fontId="114" fillId="67" borderId="16" xfId="204" applyFont="1" applyFill="1" applyBorder="1" applyAlignment="1">
      <alignment horizontal="center" wrapText="1" shrinkToFit="1"/>
    </xf>
    <xf numFmtId="164" fontId="114" fillId="67" borderId="21" xfId="204" applyFont="1" applyFill="1" applyBorder="1" applyAlignment="1">
      <alignment horizontal="center" wrapText="1" shrinkToFit="1"/>
    </xf>
    <xf numFmtId="164" fontId="114" fillId="67" borderId="25" xfId="204" applyFont="1" applyFill="1" applyBorder="1" applyAlignment="1">
      <alignment horizontal="center" wrapText="1" shrinkToFit="1"/>
    </xf>
    <xf numFmtId="164" fontId="114" fillId="68" borderId="19" xfId="204" applyFont="1" applyFill="1" applyBorder="1" applyAlignment="1">
      <alignment horizontal="center"/>
    </xf>
    <xf numFmtId="164" fontId="114" fillId="68" borderId="23" xfId="204" applyFont="1" applyFill="1" applyBorder="1" applyAlignment="1">
      <alignment horizontal="center"/>
    </xf>
    <xf numFmtId="164" fontId="114" fillId="68" borderId="28" xfId="204" applyFont="1" applyFill="1" applyBorder="1" applyAlignment="1">
      <alignment horizontal="center"/>
    </xf>
    <xf numFmtId="49" fontId="32" fillId="0" borderId="38" xfId="0" applyNumberFormat="1" applyFont="1" applyBorder="1" applyAlignment="1">
      <alignment horizontal="center" vertical="center" wrapText="1"/>
    </xf>
    <xf numFmtId="164" fontId="23" fillId="67" borderId="13" xfId="204" applyFont="1" applyFill="1" applyBorder="1" applyAlignment="1">
      <alignment horizontal="center" wrapText="1" shrinkToFit="1"/>
    </xf>
    <xf numFmtId="3" fontId="23" fillId="67" borderId="14" xfId="0" applyNumberFormat="1" applyFont="1" applyFill="1" applyBorder="1" applyAlignment="1">
      <alignment horizontal="center" vertical="center"/>
    </xf>
    <xf numFmtId="164" fontId="113" fillId="73" borderId="57" xfId="204" applyFont="1" applyFill="1" applyBorder="1" applyAlignment="1" applyProtection="1">
      <alignment horizontal="right" vertical="center" shrinkToFit="1"/>
    </xf>
    <xf numFmtId="164" fontId="113" fillId="68" borderId="38" xfId="204" applyFont="1" applyFill="1" applyBorder="1" applyAlignment="1"/>
    <xf numFmtId="164" fontId="24" fillId="67" borderId="49" xfId="204" applyFont="1" applyFill="1" applyBorder="1" applyAlignment="1">
      <alignment horizontal="center"/>
    </xf>
    <xf numFmtId="164" fontId="124" fillId="0" borderId="38" xfId="204" applyFont="1" applyBorder="1" applyAlignment="1" applyProtection="1">
      <alignment horizontal="right" shrinkToFit="1"/>
    </xf>
    <xf numFmtId="164" fontId="24" fillId="68" borderId="27" xfId="204" applyFont="1" applyFill="1" applyBorder="1" applyAlignment="1">
      <alignment horizontal="center" wrapText="1"/>
    </xf>
    <xf numFmtId="164" fontId="114" fillId="68" borderId="16" xfId="204" applyFont="1" applyFill="1" applyBorder="1" applyAlignment="1">
      <alignment horizontal="center" wrapText="1" shrinkToFit="1"/>
    </xf>
    <xf numFmtId="4" fontId="114" fillId="0" borderId="58" xfId="42" applyNumberFormat="1" applyFont="1" applyFill="1" applyProtection="1">
      <alignment horizontal="right" vertical="top" wrapText="1" shrinkToFit="1"/>
    </xf>
    <xf numFmtId="164" fontId="23" fillId="67" borderId="33" xfId="204" applyFont="1" applyFill="1" applyBorder="1" applyAlignment="1">
      <alignment horizontal="center" wrapText="1" shrinkToFit="1"/>
    </xf>
    <xf numFmtId="164" fontId="23" fillId="67" borderId="31" xfId="204" applyFont="1" applyFill="1" applyBorder="1" applyAlignment="1">
      <alignment horizontal="center" wrapText="1" shrinkToFit="1"/>
    </xf>
    <xf numFmtId="164" fontId="23" fillId="70" borderId="31" xfId="204" applyFont="1" applyFill="1" applyBorder="1" applyAlignment="1">
      <alignment horizontal="center" wrapText="1" shrinkToFit="1"/>
    </xf>
    <xf numFmtId="164" fontId="23" fillId="67" borderId="19" xfId="204" applyFont="1" applyFill="1" applyBorder="1" applyAlignment="1">
      <alignment horizontal="center"/>
    </xf>
    <xf numFmtId="164" fontId="23" fillId="70" borderId="17" xfId="204" applyFont="1" applyFill="1" applyBorder="1" applyAlignment="1">
      <alignment horizontal="center"/>
    </xf>
    <xf numFmtId="4" fontId="116" fillId="48" borderId="56" xfId="40" applyFont="1" applyProtection="1">
      <alignment horizontal="right" shrinkToFit="1"/>
    </xf>
    <xf numFmtId="164" fontId="114" fillId="70" borderId="37" xfId="204" applyFont="1" applyFill="1" applyBorder="1" applyAlignment="1">
      <alignment horizontal="center"/>
    </xf>
    <xf numFmtId="164" fontId="129" fillId="0" borderId="38" xfId="204" applyFont="1" applyBorder="1" applyAlignment="1" applyProtection="1">
      <alignment horizontal="right" vertical="center" shrinkToFit="1"/>
    </xf>
    <xf numFmtId="164" fontId="115" fillId="67" borderId="38" xfId="204" applyFont="1" applyFill="1" applyBorder="1" applyAlignment="1">
      <alignment vertical="center"/>
    </xf>
    <xf numFmtId="164" fontId="115" fillId="0" borderId="0" xfId="204" applyFont="1" applyAlignment="1">
      <alignment vertical="center"/>
    </xf>
    <xf numFmtId="164" fontId="116" fillId="0" borderId="0" xfId="204" applyFont="1" applyAlignment="1">
      <alignment horizontal="center" vertical="center"/>
    </xf>
    <xf numFmtId="164" fontId="29" fillId="0" borderId="0" xfId="204" applyFont="1" applyFill="1" applyAlignment="1">
      <alignment horizontal="center" vertical="center"/>
    </xf>
    <xf numFmtId="164" fontId="0" fillId="0" borderId="0" xfId="204" applyFont="1" applyFill="1" applyAlignment="1">
      <alignment horizontal="center" vertical="center"/>
    </xf>
    <xf numFmtId="164" fontId="116" fillId="0" borderId="0" xfId="204" applyFont="1" applyFill="1" applyAlignment="1">
      <alignment horizontal="center" vertical="center"/>
    </xf>
    <xf numFmtId="164" fontId="116" fillId="0" borderId="0" xfId="0" applyNumberFormat="1" applyFont="1" applyAlignment="1">
      <alignment horizontal="center" vertical="center"/>
    </xf>
    <xf numFmtId="173" fontId="3" fillId="0" borderId="0" xfId="204" applyNumberFormat="1" applyFont="1" applyAlignment="1">
      <alignment vertical="center"/>
    </xf>
    <xf numFmtId="164" fontId="132" fillId="73" borderId="57" xfId="204" applyFont="1" applyFill="1" applyBorder="1" applyAlignment="1" applyProtection="1">
      <alignment horizontal="right" vertical="top" shrinkToFit="1"/>
    </xf>
    <xf numFmtId="0" fontId="23" fillId="0" borderId="34" xfId="0" applyFont="1" applyFill="1" applyBorder="1" applyAlignment="1">
      <alignment vertical="center"/>
    </xf>
    <xf numFmtId="164" fontId="23" fillId="25" borderId="14" xfId="204" applyFont="1" applyFill="1" applyBorder="1" applyAlignment="1">
      <alignment horizontal="center" wrapText="1"/>
    </xf>
    <xf numFmtId="4" fontId="125" fillId="70" borderId="23" xfId="48" applyFont="1" applyFill="1" applyBorder="1" applyAlignment="1" applyProtection="1">
      <alignment wrapText="1" shrinkToFit="1"/>
    </xf>
    <xf numFmtId="164" fontId="114" fillId="70" borderId="33" xfId="204" applyFont="1" applyFill="1" applyBorder="1" applyAlignment="1">
      <alignment horizontal="center" wrapText="1" shrinkToFit="1"/>
    </xf>
    <xf numFmtId="164" fontId="23" fillId="70" borderId="82" xfId="204" applyFont="1" applyFill="1" applyBorder="1" applyAlignment="1">
      <alignment horizontal="center"/>
    </xf>
    <xf numFmtId="0" fontId="0" fillId="0" borderId="0" xfId="0" applyFont="1"/>
    <xf numFmtId="0" fontId="23" fillId="0" borderId="34" xfId="0" applyFont="1" applyFill="1" applyBorder="1" applyAlignment="1">
      <alignment vertical="center"/>
    </xf>
    <xf numFmtId="49" fontId="32" fillId="0" borderId="38" xfId="0" applyNumberFormat="1" applyFont="1" applyBorder="1" applyAlignment="1">
      <alignment horizontal="center" vertical="center" wrapText="1"/>
    </xf>
    <xf numFmtId="164" fontId="135" fillId="67" borderId="0" xfId="0" applyNumberFormat="1" applyFont="1" applyFill="1" applyAlignment="1">
      <alignment vertical="center"/>
    </xf>
    <xf numFmtId="164" fontId="24" fillId="67" borderId="48" xfId="204" applyFont="1" applyFill="1" applyBorder="1" applyAlignment="1">
      <alignment horizontal="center" wrapText="1" shrinkToFit="1"/>
    </xf>
    <xf numFmtId="164" fontId="24" fillId="67" borderId="82" xfId="204" applyFont="1" applyFill="1" applyBorder="1" applyAlignment="1">
      <alignment horizontal="center" wrapText="1" shrinkToFit="1"/>
    </xf>
    <xf numFmtId="0" fontId="3" fillId="0" borderId="0" xfId="0" applyFont="1" applyFill="1" applyAlignment="1">
      <alignment horizontal="center" vertical="center" wrapText="1"/>
    </xf>
    <xf numFmtId="164" fontId="135" fillId="0" borderId="0" xfId="0" applyNumberFormat="1" applyFont="1" applyFill="1" applyAlignment="1">
      <alignment vertical="center"/>
    </xf>
    <xf numFmtId="164" fontId="115" fillId="0" borderId="0" xfId="0" applyNumberFormat="1" applyFont="1" applyFill="1" applyAlignment="1">
      <alignment vertical="center"/>
    </xf>
    <xf numFmtId="164" fontId="3" fillId="0" borderId="0" xfId="0" applyNumberFormat="1" applyFont="1" applyFill="1" applyAlignment="1">
      <alignment vertical="center"/>
    </xf>
    <xf numFmtId="0" fontId="3" fillId="0" borderId="0" xfId="0" applyFont="1" applyFill="1" applyAlignment="1">
      <alignment horizontal="center" vertical="center"/>
    </xf>
    <xf numFmtId="164" fontId="124" fillId="67" borderId="89" xfId="204" applyFont="1" applyFill="1" applyBorder="1" applyAlignment="1">
      <alignment horizontal="right" vertical="top" wrapText="1"/>
    </xf>
    <xf numFmtId="164" fontId="31" fillId="0" borderId="42" xfId="204" applyNumberFormat="1" applyFont="1" applyBorder="1" applyAlignment="1">
      <alignment horizontal="center" vertical="center"/>
    </xf>
    <xf numFmtId="49" fontId="32" fillId="0" borderId="38" xfId="0" applyNumberFormat="1" applyFont="1" applyBorder="1" applyAlignment="1">
      <alignment horizontal="center" vertical="center" wrapText="1"/>
    </xf>
    <xf numFmtId="164" fontId="31" fillId="0" borderId="38" xfId="204" applyFont="1" applyFill="1" applyBorder="1" applyAlignment="1">
      <alignment horizontal="center" vertical="center"/>
    </xf>
    <xf numFmtId="4" fontId="145" fillId="0" borderId="57" xfId="207" applyNumberFormat="1" applyFont="1" applyProtection="1">
      <alignment horizontal="right" vertical="top" shrinkToFit="1"/>
    </xf>
    <xf numFmtId="4" fontId="74" fillId="0" borderId="57" xfId="207" applyNumberFormat="1" applyProtection="1">
      <alignment horizontal="right" vertical="top" shrinkToFit="1"/>
    </xf>
    <xf numFmtId="164" fontId="23" fillId="0" borderId="0" xfId="0" applyNumberFormat="1" applyFont="1" applyFill="1" applyBorder="1" applyAlignment="1">
      <alignment horizontal="center" vertical="center"/>
    </xf>
    <xf numFmtId="4" fontId="144" fillId="73" borderId="57" xfId="208" applyNumberFormat="1" applyFont="1" applyProtection="1">
      <alignment horizontal="right" vertical="top" shrinkToFit="1"/>
    </xf>
    <xf numFmtId="4" fontId="23" fillId="0" borderId="0" xfId="0" applyNumberFormat="1" applyFont="1" applyFill="1" applyBorder="1" applyAlignment="1">
      <alignment horizontal="center" vertical="center"/>
    </xf>
    <xf numFmtId="4" fontId="146" fillId="0" borderId="0" xfId="104" applyNumberFormat="1" applyFont="1" applyBorder="1" applyAlignment="1" applyProtection="1">
      <alignment horizontal="right" vertical="top" shrinkToFit="1"/>
    </xf>
    <xf numFmtId="4" fontId="139" fillId="0" borderId="0" xfId="104" applyNumberFormat="1" applyFont="1" applyBorder="1" applyAlignment="1" applyProtection="1">
      <alignment horizontal="right" vertical="top" shrinkToFit="1"/>
    </xf>
    <xf numFmtId="4" fontId="125" fillId="67" borderId="88" xfId="104" applyNumberFormat="1" applyFont="1" applyFill="1" applyBorder="1" applyAlignment="1" applyProtection="1">
      <alignment horizontal="right" shrinkToFit="1"/>
    </xf>
    <xf numFmtId="4" fontId="125" fillId="67" borderId="21" xfId="104" applyNumberFormat="1" applyFont="1" applyFill="1" applyBorder="1" applyAlignment="1" applyProtection="1">
      <alignment horizontal="right" shrinkToFit="1"/>
    </xf>
    <xf numFmtId="4" fontId="125" fillId="67" borderId="85" xfId="104" applyNumberFormat="1" applyFont="1" applyFill="1" applyBorder="1" applyAlignment="1" applyProtection="1">
      <alignment horizontal="right" shrinkToFit="1"/>
    </xf>
    <xf numFmtId="0" fontId="23" fillId="75" borderId="11" xfId="0" applyFont="1" applyFill="1" applyBorder="1" applyAlignment="1">
      <alignment horizontal="center" vertical="center"/>
    </xf>
    <xf numFmtId="164" fontId="24" fillId="75" borderId="16" xfId="204" applyFont="1" applyFill="1" applyBorder="1" applyAlignment="1">
      <alignment horizontal="center" wrapText="1" shrinkToFit="1"/>
    </xf>
    <xf numFmtId="164" fontId="24" fillId="75" borderId="21" xfId="204" applyFont="1" applyFill="1" applyBorder="1" applyAlignment="1">
      <alignment horizontal="center" wrapText="1" shrinkToFit="1"/>
    </xf>
    <xf numFmtId="164" fontId="24" fillId="75" borderId="25" xfId="204" applyFont="1" applyFill="1" applyBorder="1" applyAlignment="1">
      <alignment horizontal="center" wrapText="1" shrinkToFit="1"/>
    </xf>
    <xf numFmtId="164" fontId="23" fillId="75" borderId="29" xfId="204" applyFont="1" applyFill="1" applyBorder="1" applyAlignment="1">
      <alignment horizontal="center"/>
    </xf>
    <xf numFmtId="164" fontId="23" fillId="75" borderId="0" xfId="204" applyFont="1" applyFill="1" applyBorder="1" applyAlignment="1">
      <alignment horizontal="center"/>
    </xf>
    <xf numFmtId="164" fontId="24" fillId="75" borderId="33" xfId="204" applyFont="1" applyFill="1" applyBorder="1" applyAlignment="1">
      <alignment horizontal="center" wrapText="1" shrinkToFit="1"/>
    </xf>
    <xf numFmtId="164" fontId="23" fillId="75" borderId="34" xfId="204" applyFont="1" applyFill="1" applyBorder="1" applyAlignment="1">
      <alignment horizontal="center"/>
    </xf>
    <xf numFmtId="164" fontId="23" fillId="75" borderId="11" xfId="204" applyFont="1" applyFill="1" applyBorder="1" applyAlignment="1">
      <alignment horizontal="center"/>
    </xf>
    <xf numFmtId="0" fontId="17" fillId="0" borderId="0" xfId="0" applyFont="1" applyFill="1" applyBorder="1" applyAlignment="1">
      <alignment vertical="center" wrapText="1"/>
    </xf>
    <xf numFmtId="0" fontId="5" fillId="0" borderId="36" xfId="0" applyFont="1" applyFill="1" applyBorder="1" applyAlignment="1">
      <alignment vertical="center" wrapText="1"/>
    </xf>
    <xf numFmtId="0" fontId="23" fillId="0" borderId="36"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68" borderId="36" xfId="0" applyFont="1" applyFill="1" applyBorder="1" applyAlignment="1">
      <alignment horizontal="center" vertical="center" wrapText="1"/>
    </xf>
    <xf numFmtId="0" fontId="23" fillId="0" borderId="34" xfId="0" applyFont="1" applyFill="1" applyBorder="1" applyAlignment="1">
      <alignment vertical="center"/>
    </xf>
    <xf numFmtId="164" fontId="147" fillId="51" borderId="58" xfId="204" applyFont="1" applyFill="1" applyBorder="1" applyAlignment="1" applyProtection="1">
      <alignment horizontal="right" vertical="top" shrinkToFit="1"/>
    </xf>
    <xf numFmtId="4" fontId="114" fillId="0" borderId="42" xfId="41" applyNumberFormat="1" applyFont="1" applyBorder="1" applyProtection="1">
      <alignment horizontal="right" vertical="top" shrinkToFit="1"/>
    </xf>
    <xf numFmtId="164" fontId="129" fillId="51" borderId="80" xfId="204" applyFont="1" applyFill="1" applyBorder="1" applyAlignment="1" applyProtection="1">
      <alignment horizontal="right" vertical="top" shrinkToFit="1"/>
    </xf>
    <xf numFmtId="164" fontId="23" fillId="0" borderId="47" xfId="204" applyFont="1" applyFill="1" applyBorder="1" applyAlignment="1">
      <alignment horizontal="center"/>
    </xf>
    <xf numFmtId="164" fontId="23" fillId="0" borderId="23" xfId="204" applyFont="1" applyFill="1" applyBorder="1" applyAlignment="1">
      <alignment horizontal="center"/>
    </xf>
    <xf numFmtId="0" fontId="4" fillId="70" borderId="36" xfId="0" applyFont="1" applyFill="1" applyBorder="1" applyAlignment="1">
      <alignment horizontal="center" vertical="center" wrapText="1"/>
    </xf>
    <xf numFmtId="164" fontId="23" fillId="70" borderId="22" xfId="204" applyFont="1" applyFill="1" applyBorder="1" applyAlignment="1">
      <alignment horizontal="right" wrapText="1" shrinkToFit="1"/>
    </xf>
    <xf numFmtId="0" fontId="23" fillId="0" borderId="34" xfId="0" applyFont="1" applyFill="1" applyBorder="1" applyAlignment="1">
      <alignment vertical="center"/>
    </xf>
    <xf numFmtId="0" fontId="23" fillId="0" borderId="34" xfId="0" applyFont="1" applyFill="1" applyBorder="1" applyAlignment="1">
      <alignment vertical="center"/>
    </xf>
    <xf numFmtId="49" fontId="32" fillId="0" borderId="38" xfId="0" applyNumberFormat="1" applyFont="1" applyBorder="1" applyAlignment="1">
      <alignment horizontal="center" vertical="center" wrapText="1"/>
    </xf>
    <xf numFmtId="164" fontId="114" fillId="0" borderId="37" xfId="204" applyFont="1" applyFill="1" applyBorder="1" applyAlignment="1">
      <alignment horizontal="center"/>
    </xf>
    <xf numFmtId="164" fontId="114" fillId="67" borderId="19" xfId="204" applyFont="1" applyFill="1" applyBorder="1" applyAlignment="1">
      <alignment horizontal="center" wrapText="1" shrinkToFit="1"/>
    </xf>
    <xf numFmtId="164" fontId="114" fillId="67" borderId="23" xfId="204" applyFont="1" applyFill="1" applyBorder="1" applyAlignment="1">
      <alignment horizontal="center" wrapText="1" shrinkToFit="1"/>
    </xf>
    <xf numFmtId="164" fontId="114" fillId="67" borderId="28" xfId="204" applyFont="1" applyFill="1" applyBorder="1" applyAlignment="1">
      <alignment horizontal="center" wrapText="1" shrinkToFit="1"/>
    </xf>
    <xf numFmtId="0" fontId="23" fillId="0" borderId="34" xfId="0" applyFont="1" applyFill="1" applyBorder="1" applyAlignment="1">
      <alignment vertical="center"/>
    </xf>
    <xf numFmtId="164" fontId="73" fillId="73" borderId="38" xfId="204" applyFont="1" applyFill="1" applyBorder="1" applyAlignment="1" applyProtection="1">
      <alignment horizontal="right" vertical="top" shrinkToFit="1"/>
    </xf>
    <xf numFmtId="0" fontId="148" fillId="0" borderId="0" xfId="0" applyFont="1" applyFill="1"/>
    <xf numFmtId="0" fontId="23" fillId="0" borderId="12" xfId="0" applyFont="1" applyFill="1" applyBorder="1" applyAlignment="1">
      <alignment horizontal="center" vertical="center" wrapText="1"/>
    </xf>
    <xf numFmtId="0" fontId="23" fillId="0" borderId="34" xfId="0" applyFont="1" applyFill="1" applyBorder="1" applyAlignment="1">
      <alignment vertical="center"/>
    </xf>
    <xf numFmtId="0" fontId="67" fillId="0" borderId="0" xfId="0" applyFont="1"/>
    <xf numFmtId="0" fontId="67" fillId="0" borderId="0" xfId="0" applyFont="1" applyBorder="1"/>
    <xf numFmtId="164" fontId="124" fillId="0" borderId="57" xfId="204" applyFont="1" applyBorder="1" applyAlignment="1" applyProtection="1">
      <alignment horizontal="right" vertical="center" shrinkToFit="1"/>
    </xf>
    <xf numFmtId="0" fontId="4" fillId="69" borderId="14" xfId="0" applyFont="1" applyFill="1" applyBorder="1" applyAlignment="1">
      <alignment horizontal="center" vertical="center" wrapText="1"/>
    </xf>
    <xf numFmtId="164" fontId="133" fillId="69" borderId="0" xfId="0" applyNumberFormat="1" applyFont="1" applyFill="1" applyBorder="1" applyAlignment="1">
      <alignment vertical="center"/>
    </xf>
    <xf numFmtId="0" fontId="23" fillId="0" borderId="34" xfId="0" applyFont="1" applyFill="1" applyBorder="1" applyAlignment="1">
      <alignment vertical="center"/>
    </xf>
    <xf numFmtId="164" fontId="23" fillId="25" borderId="46" xfId="204" applyFont="1" applyFill="1" applyBorder="1" applyAlignment="1">
      <alignment horizontal="center"/>
    </xf>
    <xf numFmtId="49" fontId="32" fillId="0" borderId="38" xfId="0" applyNumberFormat="1" applyFont="1" applyBorder="1" applyAlignment="1">
      <alignment horizontal="center" vertical="center" wrapText="1"/>
    </xf>
    <xf numFmtId="0" fontId="23" fillId="0" borderId="40" xfId="0" applyFont="1" applyFill="1" applyBorder="1" applyAlignment="1">
      <alignment horizontal="center" vertical="center" wrapText="1"/>
    </xf>
    <xf numFmtId="0" fontId="23" fillId="0" borderId="34" xfId="0" applyFont="1" applyFill="1" applyBorder="1" applyAlignment="1">
      <alignment vertical="center"/>
    </xf>
    <xf numFmtId="0" fontId="23" fillId="67" borderId="15" xfId="0" applyFont="1" applyFill="1" applyBorder="1" applyAlignment="1">
      <alignment horizontal="center" vertical="center" wrapText="1"/>
    </xf>
    <xf numFmtId="0" fontId="23" fillId="67" borderId="36" xfId="0" applyFont="1" applyFill="1" applyBorder="1" applyAlignment="1">
      <alignment horizontal="center" vertical="center" wrapText="1"/>
    </xf>
    <xf numFmtId="0" fontId="5" fillId="0" borderId="30" xfId="0" applyFont="1" applyFill="1" applyBorder="1" applyAlignment="1">
      <alignment horizontal="center" vertical="center" wrapText="1"/>
    </xf>
    <xf numFmtId="164" fontId="73" fillId="48" borderId="56" xfId="204" applyFont="1" applyFill="1" applyBorder="1" applyAlignment="1" applyProtection="1">
      <alignment horizontal="right" vertical="center" shrinkToFit="1"/>
    </xf>
    <xf numFmtId="0" fontId="5" fillId="0" borderId="46" xfId="0" applyFont="1" applyFill="1" applyBorder="1" applyAlignment="1">
      <alignment vertical="center" wrapText="1"/>
    </xf>
    <xf numFmtId="164" fontId="23" fillId="25" borderId="23" xfId="204" applyFont="1" applyFill="1" applyBorder="1" applyAlignment="1">
      <alignment horizontal="center"/>
    </xf>
    <xf numFmtId="164" fontId="23" fillId="25" borderId="82" xfId="204" applyFont="1" applyFill="1" applyBorder="1" applyAlignment="1">
      <alignment horizontal="center"/>
    </xf>
    <xf numFmtId="164" fontId="23" fillId="70" borderId="35" xfId="204" applyFont="1" applyFill="1" applyBorder="1" applyAlignment="1">
      <alignment horizontal="center"/>
    </xf>
    <xf numFmtId="164" fontId="114" fillId="67" borderId="19" xfId="204" applyFont="1" applyFill="1" applyBorder="1" applyAlignment="1">
      <alignment horizontal="center"/>
    </xf>
    <xf numFmtId="164" fontId="114" fillId="25" borderId="23" xfId="204" applyFont="1" applyFill="1" applyBorder="1" applyAlignment="1">
      <alignment horizontal="center"/>
    </xf>
    <xf numFmtId="164" fontId="114" fillId="25" borderId="28" xfId="204" applyFont="1" applyFill="1" applyBorder="1" applyAlignment="1">
      <alignment horizontal="center"/>
    </xf>
    <xf numFmtId="164" fontId="114" fillId="70" borderId="13" xfId="204" applyFont="1" applyFill="1" applyBorder="1" applyAlignment="1">
      <alignment horizontal="center"/>
    </xf>
    <xf numFmtId="0" fontId="5" fillId="0" borderId="30" xfId="0" applyFont="1" applyFill="1" applyBorder="1" applyAlignment="1">
      <alignment vertical="center" wrapText="1"/>
    </xf>
    <xf numFmtId="0" fontId="1" fillId="0" borderId="34" xfId="0" applyFont="1" applyFill="1" applyBorder="1"/>
    <xf numFmtId="0" fontId="1" fillId="0" borderId="46" xfId="0" applyFont="1" applyFill="1" applyBorder="1"/>
    <xf numFmtId="0" fontId="23" fillId="0" borderId="34" xfId="0" applyFont="1" applyFill="1" applyBorder="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34" xfId="0" applyFont="1" applyFill="1" applyBorder="1" applyAlignment="1">
      <alignment vertical="center"/>
    </xf>
    <xf numFmtId="49" fontId="32" fillId="0" borderId="38" xfId="0" applyNumberFormat="1" applyFont="1" applyBorder="1" applyAlignment="1">
      <alignment horizontal="center" vertical="center" wrapText="1"/>
    </xf>
    <xf numFmtId="164" fontId="23" fillId="70" borderId="37" xfId="204" applyFont="1" applyFill="1" applyBorder="1" applyAlignment="1">
      <alignment horizontal="center" wrapText="1" shrinkToFit="1"/>
    </xf>
    <xf numFmtId="164" fontId="114" fillId="70" borderId="37" xfId="204" applyFont="1" applyFill="1" applyBorder="1" applyAlignment="1">
      <alignment horizontal="center" wrapText="1" shrinkToFit="1"/>
    </xf>
    <xf numFmtId="164" fontId="23" fillId="70" borderId="13" xfId="204" applyFont="1" applyFill="1" applyBorder="1" applyAlignment="1">
      <alignment horizontal="center" wrapText="1" shrinkToFit="1"/>
    </xf>
    <xf numFmtId="164" fontId="129" fillId="51" borderId="0" xfId="204" applyFont="1" applyFill="1" applyBorder="1" applyAlignment="1" applyProtection="1">
      <alignment horizontal="right" vertical="top" shrinkToFit="1"/>
    </xf>
    <xf numFmtId="164" fontId="113" fillId="73" borderId="0" xfId="204" applyFont="1" applyFill="1" applyBorder="1" applyAlignment="1" applyProtection="1">
      <alignment horizontal="right" vertical="center" shrinkToFit="1"/>
    </xf>
    <xf numFmtId="164" fontId="114" fillId="70" borderId="18" xfId="204" applyFont="1" applyFill="1" applyBorder="1" applyAlignment="1">
      <alignment horizontal="center" wrapText="1" shrinkToFit="1"/>
    </xf>
    <xf numFmtId="164" fontId="114" fillId="70" borderId="20" xfId="204" applyFont="1" applyFill="1" applyBorder="1" applyAlignment="1">
      <alignment horizontal="center" wrapText="1" shrinkToFit="1"/>
    </xf>
    <xf numFmtId="164" fontId="114" fillId="70" borderId="27" xfId="204" applyFont="1" applyFill="1" applyBorder="1" applyAlignment="1">
      <alignment horizontal="center" wrapText="1" shrinkToFit="1"/>
    </xf>
    <xf numFmtId="166" fontId="130" fillId="0" borderId="38" xfId="204" applyNumberFormat="1" applyFont="1" applyFill="1" applyBorder="1" applyAlignment="1">
      <alignment vertical="center"/>
    </xf>
    <xf numFmtId="164" fontId="116" fillId="0" borderId="0" xfId="0" applyNumberFormat="1" applyFont="1" applyAlignment="1">
      <alignment vertical="center"/>
    </xf>
    <xf numFmtId="0" fontId="23" fillId="70" borderId="14" xfId="0" applyFont="1" applyFill="1" applyBorder="1" applyAlignment="1">
      <alignment horizontal="center" vertical="center"/>
    </xf>
    <xf numFmtId="4" fontId="23" fillId="70" borderId="54" xfId="0" applyNumberFormat="1" applyFont="1" applyFill="1" applyBorder="1" applyAlignment="1" applyProtection="1">
      <alignment horizontal="center"/>
    </xf>
    <xf numFmtId="4" fontId="23" fillId="70" borderId="87" xfId="0" applyNumberFormat="1" applyFont="1" applyFill="1" applyBorder="1" applyAlignment="1" applyProtection="1">
      <alignment horizontal="center"/>
    </xf>
    <xf numFmtId="164" fontId="128" fillId="51" borderId="58" xfId="204" applyFont="1" applyFill="1" applyBorder="1" applyAlignment="1" applyProtection="1">
      <alignment horizontal="right" vertical="center" shrinkToFit="1"/>
    </xf>
    <xf numFmtId="4" fontId="113" fillId="48" borderId="56" xfId="209" applyNumberFormat="1" applyFont="1" applyProtection="1">
      <alignment horizontal="right" shrinkToFit="1"/>
    </xf>
    <xf numFmtId="164" fontId="73" fillId="73" borderId="57" xfId="204" applyFont="1" applyFill="1" applyBorder="1" applyAlignment="1" applyProtection="1">
      <alignment horizontal="right" vertical="center" shrinkToFit="1"/>
    </xf>
    <xf numFmtId="164" fontId="124" fillId="48" borderId="56" xfId="204" applyNumberFormat="1" applyFont="1" applyFill="1" applyBorder="1" applyAlignment="1" applyProtection="1">
      <alignment horizontal="right" vertical="center" shrinkToFit="1"/>
    </xf>
    <xf numFmtId="164" fontId="144" fillId="73" borderId="57" xfId="204" applyNumberFormat="1" applyFont="1" applyFill="1" applyBorder="1" applyAlignment="1" applyProtection="1">
      <alignment horizontal="right" vertical="center" shrinkToFit="1"/>
    </xf>
    <xf numFmtId="4" fontId="150" fillId="0" borderId="80" xfId="101" applyNumberFormat="1" applyFont="1" applyBorder="1" applyAlignment="1" applyProtection="1">
      <alignment horizontal="right" vertical="top" shrinkToFit="1"/>
    </xf>
    <xf numFmtId="4" fontId="150" fillId="0" borderId="86" xfId="101" applyNumberFormat="1" applyFont="1" applyBorder="1" applyAlignment="1" applyProtection="1">
      <alignment horizontal="right" vertical="top" shrinkToFit="1"/>
    </xf>
    <xf numFmtId="164" fontId="124" fillId="48" borderId="56" xfId="204" applyFont="1" applyFill="1" applyBorder="1" applyAlignment="1" applyProtection="1">
      <alignment horizontal="right" vertical="center" shrinkToFit="1"/>
    </xf>
    <xf numFmtId="4" fontId="132" fillId="73" borderId="90" xfId="208" applyNumberFormat="1" applyBorder="1" applyProtection="1">
      <alignment horizontal="right" vertical="top" shrinkToFit="1"/>
    </xf>
    <xf numFmtId="164" fontId="23" fillId="0" borderId="38" xfId="204" applyNumberFormat="1" applyFont="1" applyFill="1" applyBorder="1" applyAlignment="1">
      <alignment horizontal="right" vertical="center" wrapText="1" shrinkToFit="1"/>
    </xf>
    <xf numFmtId="0" fontId="23" fillId="0" borderId="38" xfId="0" applyFont="1" applyFill="1" applyBorder="1" applyAlignment="1">
      <alignment horizontal="center" vertical="center"/>
    </xf>
    <xf numFmtId="0" fontId="23" fillId="0" borderId="0" xfId="0" applyFont="1" applyAlignment="1">
      <alignment horizontal="center" wrapText="1"/>
    </xf>
    <xf numFmtId="164" fontId="32" fillId="0" borderId="0" xfId="0" applyNumberFormat="1" applyFont="1" applyAlignment="1">
      <alignment vertical="center"/>
    </xf>
    <xf numFmtId="0" fontId="23" fillId="0" borderId="41"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27" borderId="36" xfId="0" applyFont="1" applyFill="1" applyBorder="1" applyAlignment="1">
      <alignment horizontal="center" vertical="center" wrapText="1"/>
    </xf>
    <xf numFmtId="0" fontId="23" fillId="27" borderId="34" xfId="0" applyFont="1" applyFill="1" applyBorder="1" applyAlignment="1">
      <alignment horizontal="center" vertical="center" wrapText="1"/>
    </xf>
    <xf numFmtId="0" fontId="23" fillId="27" borderId="46"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46" xfId="0" applyFont="1" applyFill="1" applyBorder="1" applyAlignment="1">
      <alignment vertical="center"/>
    </xf>
    <xf numFmtId="0" fontId="23" fillId="68" borderId="24" xfId="0" applyFont="1" applyFill="1" applyBorder="1" applyAlignment="1">
      <alignment horizontal="center" vertical="center" wrapText="1"/>
    </xf>
    <xf numFmtId="0" fontId="23" fillId="68" borderId="30" xfId="0" applyFont="1" applyFill="1" applyBorder="1" applyAlignment="1">
      <alignment horizontal="center" vertical="center" wrapText="1"/>
    </xf>
    <xf numFmtId="0" fontId="23" fillId="67" borderId="11" xfId="0" applyFont="1" applyFill="1" applyBorder="1" applyAlignment="1">
      <alignment horizontal="center" vertical="center" wrapText="1"/>
    </xf>
    <xf numFmtId="0" fontId="23" fillId="67" borderId="31"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43"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4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67" borderId="36" xfId="0" applyFont="1" applyFill="1" applyBorder="1" applyAlignment="1">
      <alignment horizontal="center" vertical="center" wrapText="1"/>
    </xf>
    <xf numFmtId="0" fontId="23" fillId="67" borderId="34" xfId="0" applyFont="1" applyFill="1" applyBorder="1" applyAlignment="1">
      <alignment horizontal="center" vertical="center" wrapText="1"/>
    </xf>
    <xf numFmtId="0" fontId="23" fillId="68" borderId="36" xfId="0" applyFont="1" applyFill="1" applyBorder="1" applyAlignment="1">
      <alignment horizontal="center" vertical="center" wrapText="1"/>
    </xf>
    <xf numFmtId="0" fontId="23" fillId="68" borderId="34" xfId="0" applyFont="1" applyFill="1" applyBorder="1" applyAlignment="1">
      <alignment horizontal="center" vertical="center" wrapText="1"/>
    </xf>
    <xf numFmtId="0" fontId="23" fillId="68" borderId="46"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68" borderId="36" xfId="0" applyFont="1" applyFill="1" applyBorder="1" applyAlignment="1">
      <alignment horizontal="center" vertical="center"/>
    </xf>
    <xf numFmtId="0" fontId="23" fillId="68" borderId="34" xfId="0" applyFont="1" applyFill="1" applyBorder="1" applyAlignment="1">
      <alignment horizontal="center" vertical="center"/>
    </xf>
    <xf numFmtId="0" fontId="23" fillId="68" borderId="46" xfId="0" applyFont="1" applyFill="1" applyBorder="1" applyAlignment="1">
      <alignment horizontal="center" vertical="center"/>
    </xf>
    <xf numFmtId="0" fontId="23" fillId="67" borderId="29"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67" borderId="12" xfId="0" applyFont="1" applyFill="1" applyBorder="1" applyAlignment="1">
      <alignment horizontal="center" vertical="center" wrapText="1"/>
    </xf>
    <xf numFmtId="0" fontId="23" fillId="67" borderId="0" xfId="0" applyFont="1" applyFill="1" applyBorder="1" applyAlignment="1">
      <alignment horizontal="center" vertical="center" wrapText="1"/>
    </xf>
    <xf numFmtId="0" fontId="23" fillId="67" borderId="30" xfId="0" applyFont="1" applyFill="1" applyBorder="1" applyAlignment="1">
      <alignment horizontal="center" vertical="center" wrapText="1"/>
    </xf>
    <xf numFmtId="0" fontId="23" fillId="0" borderId="44" xfId="0" applyFont="1" applyFill="1" applyBorder="1" applyAlignment="1">
      <alignment vertical="center"/>
    </xf>
    <xf numFmtId="0" fontId="23" fillId="0" borderId="30" xfId="0" applyFont="1" applyFill="1" applyBorder="1" applyAlignment="1">
      <alignment vertical="center"/>
    </xf>
    <xf numFmtId="0" fontId="23" fillId="0" borderId="34" xfId="0" applyFont="1" applyFill="1" applyBorder="1" applyAlignment="1">
      <alignment vertical="center"/>
    </xf>
    <xf numFmtId="0" fontId="23" fillId="27" borderId="36" xfId="0" applyFont="1" applyFill="1" applyBorder="1" applyAlignment="1">
      <alignment horizontal="center" vertical="center"/>
    </xf>
    <xf numFmtId="0" fontId="23" fillId="27" borderId="34" xfId="0" applyFont="1" applyFill="1" applyBorder="1" applyAlignment="1">
      <alignment horizontal="center" vertical="center"/>
    </xf>
    <xf numFmtId="0" fontId="23" fillId="27" borderId="46" xfId="0" applyFont="1" applyFill="1" applyBorder="1" applyAlignment="1">
      <alignment horizontal="center" vertical="center"/>
    </xf>
    <xf numFmtId="0" fontId="23" fillId="27" borderId="36" xfId="189" applyFont="1" applyFill="1" applyBorder="1" applyAlignment="1">
      <alignment horizontal="center" vertical="center" wrapText="1"/>
    </xf>
    <xf numFmtId="0" fontId="23" fillId="27" borderId="34" xfId="189" applyFont="1" applyFill="1" applyBorder="1" applyAlignment="1">
      <alignment horizontal="center" vertical="center" wrapText="1"/>
    </xf>
    <xf numFmtId="0" fontId="23" fillId="27" borderId="46" xfId="189" applyFont="1" applyFill="1" applyBorder="1" applyAlignment="1">
      <alignment horizontal="center" vertical="center" wrapText="1"/>
    </xf>
    <xf numFmtId="49" fontId="35" fillId="0" borderId="36" xfId="0" applyNumberFormat="1" applyFont="1" applyFill="1" applyBorder="1" applyAlignment="1">
      <alignment horizontal="center" vertical="center" wrapText="1"/>
    </xf>
    <xf numFmtId="49" fontId="35" fillId="0" borderId="34" xfId="0" applyNumberFormat="1" applyFont="1" applyFill="1" applyBorder="1" applyAlignment="1">
      <alignment horizontal="center" vertical="center" wrapText="1"/>
    </xf>
    <xf numFmtId="0" fontId="23" fillId="0" borderId="15" xfId="189" applyFont="1" applyFill="1" applyBorder="1" applyAlignment="1">
      <alignment horizontal="center" vertical="center" wrapText="1"/>
    </xf>
    <xf numFmtId="0" fontId="23" fillId="0" borderId="12" xfId="189" applyFont="1" applyFill="1" applyBorder="1" applyAlignment="1">
      <alignment horizontal="center" vertical="center" wrapText="1"/>
    </xf>
    <xf numFmtId="0" fontId="23" fillId="0" borderId="43" xfId="189" applyFont="1" applyFill="1" applyBorder="1" applyAlignment="1">
      <alignment horizontal="center" vertical="center" wrapText="1"/>
    </xf>
    <xf numFmtId="0" fontId="23" fillId="0" borderId="24" xfId="189" applyFont="1" applyFill="1" applyBorder="1" applyAlignment="1">
      <alignment horizontal="center" vertical="center" wrapText="1"/>
    </xf>
    <xf numFmtId="0" fontId="23" fillId="0" borderId="30" xfId="189" applyFont="1" applyFill="1" applyBorder="1" applyAlignment="1">
      <alignment horizontal="center" vertical="center" wrapText="1"/>
    </xf>
    <xf numFmtId="0" fontId="23" fillId="0" borderId="44" xfId="189" applyFont="1" applyFill="1" applyBorder="1" applyAlignment="1">
      <alignment horizontal="center" vertical="center" wrapText="1"/>
    </xf>
    <xf numFmtId="0" fontId="23" fillId="67" borderId="15" xfId="0" applyFont="1" applyFill="1" applyBorder="1" applyAlignment="1">
      <alignment horizontal="center" vertical="center" wrapText="1"/>
    </xf>
    <xf numFmtId="0" fontId="23" fillId="67" borderId="13" xfId="0" applyFont="1" applyFill="1" applyBorder="1" applyAlignment="1">
      <alignment horizontal="center" vertical="center" wrapText="1"/>
    </xf>
    <xf numFmtId="0" fontId="149" fillId="69" borderId="24" xfId="0" applyFont="1" applyFill="1" applyBorder="1" applyAlignment="1">
      <alignment horizontal="center" vertical="center" wrapText="1"/>
    </xf>
    <xf numFmtId="0" fontId="149" fillId="69" borderId="44" xfId="0" applyFont="1" applyFill="1" applyBorder="1" applyAlignment="1">
      <alignment horizontal="center" vertical="center" wrapText="1"/>
    </xf>
    <xf numFmtId="0" fontId="23" fillId="0" borderId="36"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36" xfId="189" applyFont="1" applyFill="1" applyBorder="1" applyAlignment="1">
      <alignment horizontal="center" vertical="center" wrapText="1"/>
    </xf>
    <xf numFmtId="0" fontId="23" fillId="0" borderId="34" xfId="189" applyFont="1" applyFill="1" applyBorder="1" applyAlignment="1">
      <alignment horizontal="center" vertical="center" wrapText="1"/>
    </xf>
    <xf numFmtId="0" fontId="23" fillId="0" borderId="46" xfId="189"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38" xfId="0" applyFont="1" applyFill="1" applyBorder="1" applyAlignment="1">
      <alignment horizontal="center" vertical="center"/>
    </xf>
    <xf numFmtId="0" fontId="23" fillId="0" borderId="36" xfId="189" applyFont="1" applyBorder="1" applyAlignment="1">
      <alignment horizontal="center" vertical="center" wrapText="1"/>
    </xf>
    <xf numFmtId="0" fontId="23" fillId="0" borderId="46" xfId="189" applyFont="1" applyBorder="1" applyAlignment="1">
      <alignment horizontal="center" vertical="center" wrapText="1"/>
    </xf>
    <xf numFmtId="0" fontId="23" fillId="0" borderId="24" xfId="189" applyFont="1" applyBorder="1" applyAlignment="1">
      <alignment horizontal="center" vertical="center" wrapText="1"/>
    </xf>
    <xf numFmtId="0" fontId="23" fillId="0" borderId="44" xfId="189" applyFont="1" applyBorder="1" applyAlignment="1">
      <alignment horizontal="center" vertical="center" wrapText="1"/>
    </xf>
    <xf numFmtId="0" fontId="23" fillId="0" borderId="41"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13" xfId="189" applyFont="1" applyFill="1" applyBorder="1" applyAlignment="1">
      <alignment horizontal="center" vertical="center" wrapText="1"/>
    </xf>
    <xf numFmtId="0" fontId="23" fillId="0" borderId="0" xfId="189" applyFont="1" applyFill="1" applyBorder="1" applyAlignment="1">
      <alignment horizontal="center" vertical="center" wrapText="1"/>
    </xf>
    <xf numFmtId="0" fontId="23" fillId="0" borderId="47" xfId="189" applyFont="1" applyFill="1" applyBorder="1" applyAlignment="1">
      <alignment horizontal="center" vertical="center" wrapText="1"/>
    </xf>
    <xf numFmtId="2" fontId="23" fillId="27" borderId="15" xfId="0" applyNumberFormat="1" applyFont="1" applyFill="1" applyBorder="1" applyAlignment="1">
      <alignment horizontal="center" vertical="center" wrapText="1"/>
    </xf>
    <xf numFmtId="2" fontId="23" fillId="27" borderId="43" xfId="0" applyNumberFormat="1" applyFont="1" applyFill="1" applyBorder="1" applyAlignment="1">
      <alignment horizontal="center" vertical="center" wrapText="1"/>
    </xf>
    <xf numFmtId="49" fontId="35" fillId="27" borderId="36" xfId="0" applyNumberFormat="1" applyFont="1" applyFill="1" applyBorder="1" applyAlignment="1">
      <alignment horizontal="center" vertical="center" wrapText="1"/>
    </xf>
    <xf numFmtId="49" fontId="35" fillId="27" borderId="34" xfId="0" applyNumberFormat="1" applyFont="1" applyFill="1" applyBorder="1" applyAlignment="1">
      <alignment horizontal="center" vertical="center" wrapText="1"/>
    </xf>
    <xf numFmtId="49" fontId="35" fillId="27" borderId="46" xfId="0" applyNumberFormat="1" applyFont="1" applyFill="1" applyBorder="1" applyAlignment="1">
      <alignment horizontal="center" vertical="center" wrapText="1"/>
    </xf>
    <xf numFmtId="0" fontId="23" fillId="27" borderId="46" xfId="0" applyFont="1" applyFill="1" applyBorder="1" applyAlignment="1">
      <alignment vertical="center"/>
    </xf>
    <xf numFmtId="0" fontId="23" fillId="0" borderId="47" xfId="0" applyFont="1" applyFill="1" applyBorder="1" applyAlignment="1">
      <alignment horizontal="center" vertical="center" wrapText="1"/>
    </xf>
    <xf numFmtId="49" fontId="23" fillId="0" borderId="36" xfId="0" applyNumberFormat="1" applyFont="1" applyFill="1" applyBorder="1" applyAlignment="1">
      <alignment horizontal="center" vertical="center" wrapText="1"/>
    </xf>
    <xf numFmtId="49" fontId="23" fillId="0" borderId="34" xfId="0" applyNumberFormat="1" applyFont="1" applyFill="1" applyBorder="1" applyAlignment="1">
      <alignment horizontal="center" vertical="center" wrapText="1"/>
    </xf>
    <xf numFmtId="49" fontId="23" fillId="0" borderId="46" xfId="0" applyNumberFormat="1" applyFont="1" applyFill="1" applyBorder="1" applyAlignment="1">
      <alignment horizontal="center" vertical="center" wrapText="1"/>
    </xf>
    <xf numFmtId="2" fontId="23" fillId="27" borderId="36" xfId="0" applyNumberFormat="1" applyFont="1" applyFill="1" applyBorder="1" applyAlignment="1">
      <alignment horizontal="center" vertical="center" wrapText="1"/>
    </xf>
    <xf numFmtId="2" fontId="23" fillId="27" borderId="34" xfId="0" applyNumberFormat="1" applyFont="1" applyFill="1" applyBorder="1" applyAlignment="1">
      <alignment horizontal="center" vertical="center" wrapText="1"/>
    </xf>
    <xf numFmtId="2" fontId="23" fillId="27" borderId="46" xfId="0" applyNumberFormat="1" applyFont="1" applyFill="1" applyBorder="1" applyAlignment="1">
      <alignment horizontal="center" vertical="center" wrapText="1"/>
    </xf>
    <xf numFmtId="49" fontId="23" fillId="0" borderId="15"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49" fontId="23" fillId="0" borderId="43" xfId="0" applyNumberFormat="1" applyFont="1" applyFill="1" applyBorder="1" applyAlignment="1">
      <alignment horizontal="center" vertical="center" wrapText="1"/>
    </xf>
    <xf numFmtId="49" fontId="35" fillId="0" borderId="46" xfId="0" applyNumberFormat="1" applyFont="1" applyFill="1" applyBorder="1" applyAlignment="1">
      <alignment horizontal="center" vertical="center" wrapText="1"/>
    </xf>
    <xf numFmtId="49" fontId="35" fillId="0" borderId="15" xfId="0" applyNumberFormat="1" applyFont="1" applyFill="1" applyBorder="1" applyAlignment="1">
      <alignment horizontal="center" vertical="center" wrapText="1"/>
    </xf>
    <xf numFmtId="49" fontId="35" fillId="0" borderId="43" xfId="0" applyNumberFormat="1" applyFont="1" applyFill="1" applyBorder="1" applyAlignment="1">
      <alignment horizontal="center" vertical="center" wrapText="1"/>
    </xf>
    <xf numFmtId="49" fontId="35" fillId="0" borderId="24" xfId="0" applyNumberFormat="1" applyFont="1" applyFill="1" applyBorder="1" applyAlignment="1">
      <alignment horizontal="center" vertical="center" wrapText="1"/>
    </xf>
    <xf numFmtId="49" fontId="35" fillId="0" borderId="44" xfId="0" applyNumberFormat="1" applyFont="1" applyFill="1" applyBorder="1" applyAlignment="1">
      <alignment horizontal="center" vertical="center" wrapText="1"/>
    </xf>
    <xf numFmtId="49" fontId="35" fillId="27" borderId="15" xfId="0" applyNumberFormat="1" applyFont="1" applyFill="1" applyBorder="1" applyAlignment="1">
      <alignment horizontal="center" vertical="center" wrapText="1"/>
    </xf>
    <xf numFmtId="49" fontId="35" fillId="27" borderId="43" xfId="0" applyNumberFormat="1" applyFont="1" applyFill="1" applyBorder="1" applyAlignment="1">
      <alignment horizontal="center" vertical="center" wrapText="1"/>
    </xf>
    <xf numFmtId="49" fontId="23" fillId="0" borderId="24"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44" xfId="0" applyNumberFormat="1" applyFont="1" applyFill="1" applyBorder="1" applyAlignment="1">
      <alignment horizontal="center" vertical="center" wrapText="1"/>
    </xf>
    <xf numFmtId="2" fontId="23" fillId="0" borderId="36" xfId="0" applyNumberFormat="1" applyFont="1" applyFill="1" applyBorder="1" applyAlignment="1">
      <alignment horizontal="center" vertical="center" wrapText="1"/>
    </xf>
    <xf numFmtId="2" fontId="23" fillId="0" borderId="34" xfId="0" applyNumberFormat="1" applyFont="1" applyFill="1" applyBorder="1" applyAlignment="1">
      <alignment horizontal="center" vertical="center" wrapText="1"/>
    </xf>
    <xf numFmtId="2" fontId="23" fillId="0" borderId="46" xfId="0" applyNumberFormat="1" applyFont="1" applyFill="1" applyBorder="1" applyAlignment="1">
      <alignment horizontal="center" vertical="center" wrapText="1"/>
    </xf>
    <xf numFmtId="2" fontId="23" fillId="0" borderId="15" xfId="0" applyNumberFormat="1" applyFont="1" applyFill="1" applyBorder="1" applyAlignment="1">
      <alignment horizontal="center" vertical="center" wrapText="1"/>
    </xf>
    <xf numFmtId="2" fontId="23" fillId="0" borderId="43" xfId="0" applyNumberFormat="1" applyFont="1" applyFill="1" applyBorder="1" applyAlignment="1">
      <alignment horizontal="center" vertical="center" wrapText="1"/>
    </xf>
    <xf numFmtId="2" fontId="23" fillId="0" borderId="24" xfId="0" applyNumberFormat="1" applyFont="1" applyFill="1" applyBorder="1" applyAlignment="1">
      <alignment horizontal="center" vertical="center" wrapText="1"/>
    </xf>
    <xf numFmtId="2" fontId="23" fillId="0" borderId="44" xfId="0" applyNumberFormat="1" applyFont="1" applyFill="1" applyBorder="1" applyAlignment="1">
      <alignment horizontal="center" vertical="center" wrapText="1"/>
    </xf>
    <xf numFmtId="164" fontId="23" fillId="0" borderId="41" xfId="0" applyNumberFormat="1" applyFont="1" applyFill="1" applyBorder="1" applyAlignment="1">
      <alignment horizontal="center" vertical="center"/>
    </xf>
    <xf numFmtId="164" fontId="23" fillId="0" borderId="22" xfId="0" applyNumberFormat="1" applyFont="1" applyFill="1" applyBorder="1" applyAlignment="1">
      <alignment horizontal="center" vertical="center"/>
    </xf>
    <xf numFmtId="0" fontId="23" fillId="0" borderId="64" xfId="0" applyFont="1" applyFill="1" applyBorder="1" applyAlignment="1">
      <alignment horizontal="center" vertical="center"/>
    </xf>
    <xf numFmtId="49" fontId="35" fillId="0" borderId="12" xfId="0" applyNumberFormat="1"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67" borderId="41" xfId="0" applyFont="1" applyFill="1" applyBorder="1" applyAlignment="1">
      <alignment horizontal="center" vertical="center"/>
    </xf>
    <xf numFmtId="0" fontId="20" fillId="67" borderId="40" xfId="0" quotePrefix="1" applyFont="1" applyFill="1" applyBorder="1" applyAlignment="1">
      <alignment horizontal="center" vertical="center"/>
    </xf>
    <xf numFmtId="0" fontId="20" fillId="67" borderId="38" xfId="0" quotePrefix="1" applyFont="1" applyFill="1" applyBorder="1" applyAlignment="1">
      <alignment horizontal="center" vertical="center"/>
    </xf>
    <xf numFmtId="0" fontId="20" fillId="67" borderId="38" xfId="0" applyFont="1" applyFill="1" applyBorder="1" applyAlignment="1">
      <alignment horizontal="center" vertical="center"/>
    </xf>
    <xf numFmtId="0" fontId="20" fillId="0" borderId="38"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52" xfId="0" applyFont="1" applyFill="1" applyBorder="1" applyAlignment="1">
      <alignment horizontal="center" vertical="center" wrapText="1"/>
    </xf>
    <xf numFmtId="0" fontId="20" fillId="67" borderId="41" xfId="0" quotePrefix="1" applyFont="1" applyFill="1" applyBorder="1" applyAlignment="1">
      <alignment horizontal="center" vertical="center"/>
    </xf>
    <xf numFmtId="0" fontId="20" fillId="67" borderId="40" xfId="0" applyFont="1" applyFill="1" applyBorder="1" applyAlignment="1">
      <alignment horizontal="center" vertical="center"/>
    </xf>
    <xf numFmtId="0" fontId="20" fillId="0" borderId="41" xfId="0" applyNumberFormat="1" applyFont="1" applyFill="1" applyBorder="1" applyAlignment="1">
      <alignment horizontal="center" vertical="center" wrapText="1"/>
    </xf>
    <xf numFmtId="0" fontId="20" fillId="0" borderId="40" xfId="0" applyNumberFormat="1"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27" borderId="52" xfId="0" applyFont="1" applyFill="1" applyBorder="1" applyAlignment="1">
      <alignment horizontal="center" vertical="center" wrapText="1"/>
    </xf>
    <xf numFmtId="0" fontId="8" fillId="27" borderId="35" xfId="0" applyFont="1" applyFill="1" applyBorder="1" applyAlignment="1">
      <alignment horizontal="center" vertical="center" wrapText="1"/>
    </xf>
    <xf numFmtId="0" fontId="8" fillId="27" borderId="54" xfId="0" applyFont="1" applyFill="1" applyBorder="1" applyAlignment="1">
      <alignment horizontal="center" vertical="center" wrapText="1"/>
    </xf>
    <xf numFmtId="0" fontId="8" fillId="27" borderId="32" xfId="0" applyFont="1" applyFill="1" applyBorder="1" applyAlignment="1">
      <alignment horizontal="center" vertical="center" wrapText="1"/>
    </xf>
    <xf numFmtId="0" fontId="8" fillId="27" borderId="38" xfId="0" applyFont="1" applyFill="1" applyBorder="1" applyAlignment="1">
      <alignment horizontal="center" vertical="center" wrapText="1"/>
    </xf>
    <xf numFmtId="0" fontId="8" fillId="27" borderId="53"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18" fillId="67" borderId="38" xfId="0" applyFont="1" applyFill="1" applyBorder="1" applyAlignment="1">
      <alignment horizontal="center" vertical="center"/>
    </xf>
    <xf numFmtId="0" fontId="18" fillId="67" borderId="38" xfId="0" quotePrefix="1" applyFont="1" applyFill="1" applyBorder="1" applyAlignment="1">
      <alignment horizontal="center" vertical="center"/>
    </xf>
    <xf numFmtId="0" fontId="20" fillId="67" borderId="22" xfId="0" quotePrefix="1" applyFont="1" applyFill="1" applyBorder="1" applyAlignment="1">
      <alignment horizontal="center" vertical="center"/>
    </xf>
    <xf numFmtId="0" fontId="8" fillId="27" borderId="41" xfId="0" applyFont="1" applyFill="1" applyBorder="1" applyAlignment="1">
      <alignment horizontal="center" vertical="center" wrapText="1"/>
    </xf>
    <xf numFmtId="0" fontId="8" fillId="27" borderId="40"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40" xfId="0" applyFont="1" applyFill="1" applyBorder="1" applyAlignment="1">
      <alignment horizontal="center" vertical="center" wrapText="1"/>
    </xf>
    <xf numFmtId="0" fontId="8" fillId="0" borderId="52" xfId="0" applyNumberFormat="1" applyFont="1" applyFill="1" applyBorder="1" applyAlignment="1">
      <alignment horizontal="center" vertical="center" wrapText="1"/>
    </xf>
    <xf numFmtId="0" fontId="8" fillId="0" borderId="53" xfId="0" applyNumberFormat="1" applyFont="1" applyFill="1" applyBorder="1" applyAlignment="1">
      <alignment horizontal="center" vertical="center" wrapText="1"/>
    </xf>
    <xf numFmtId="0" fontId="29" fillId="0" borderId="41" xfId="0" applyNumberFormat="1" applyFont="1" applyFill="1" applyBorder="1" applyAlignment="1">
      <alignment horizontal="center" vertical="center" wrapText="1"/>
    </xf>
    <xf numFmtId="0" fontId="29" fillId="0" borderId="40" xfId="0" applyNumberFormat="1" applyFont="1" applyFill="1" applyBorder="1" applyAlignment="1">
      <alignment horizontal="center" vertical="center" wrapText="1"/>
    </xf>
    <xf numFmtId="0" fontId="23" fillId="0" borderId="38" xfId="0" applyNumberFormat="1" applyFont="1" applyFill="1" applyBorder="1" applyAlignment="1">
      <alignment horizontal="center" vertical="center" wrapText="1"/>
    </xf>
    <xf numFmtId="0" fontId="67" fillId="25" borderId="41" xfId="0" applyFont="1" applyFill="1" applyBorder="1" applyAlignment="1">
      <alignment horizontal="center" vertical="center"/>
    </xf>
    <xf numFmtId="0" fontId="67" fillId="25" borderId="22" xfId="0" applyFont="1" applyFill="1" applyBorder="1" applyAlignment="1">
      <alignment horizontal="center" vertical="center"/>
    </xf>
    <xf numFmtId="0" fontId="67" fillId="25" borderId="40" xfId="0" applyFont="1" applyFill="1" applyBorder="1" applyAlignment="1">
      <alignment horizontal="center" vertical="center"/>
    </xf>
    <xf numFmtId="0" fontId="23" fillId="69" borderId="38" xfId="0" applyNumberFormat="1" applyFont="1" applyFill="1" applyBorder="1" applyAlignment="1">
      <alignment horizontal="center" vertical="center" wrapText="1"/>
    </xf>
    <xf numFmtId="0" fontId="23" fillId="0" borderId="38" xfId="0" applyFont="1" applyBorder="1" applyAlignment="1">
      <alignment horizontal="center" vertical="center" wrapText="1"/>
    </xf>
    <xf numFmtId="0" fontId="23" fillId="0" borderId="38" xfId="0" applyNumberFormat="1" applyFont="1" applyBorder="1" applyAlignment="1">
      <alignment horizontal="center" vertical="center" wrapText="1"/>
    </xf>
    <xf numFmtId="0" fontId="23" fillId="0" borderId="41" xfId="0" applyFont="1" applyBorder="1" applyAlignment="1">
      <alignment horizontal="center" vertical="center" wrapText="1"/>
    </xf>
    <xf numFmtId="0" fontId="23" fillId="0" borderId="40" xfId="0" applyFont="1" applyBorder="1" applyAlignment="1">
      <alignment horizontal="center" vertical="center" wrapText="1"/>
    </xf>
    <xf numFmtId="0" fontId="23" fillId="69" borderId="38" xfId="0" applyFont="1" applyFill="1" applyBorder="1" applyAlignment="1">
      <alignment horizontal="center" vertical="center" wrapText="1"/>
    </xf>
    <xf numFmtId="0" fontId="23" fillId="69" borderId="39" xfId="0" applyFont="1" applyFill="1" applyBorder="1" applyAlignment="1">
      <alignment horizontal="center" vertical="center" wrapText="1"/>
    </xf>
    <xf numFmtId="0" fontId="67" fillId="67" borderId="38" xfId="0" applyFont="1" applyFill="1" applyBorder="1" applyAlignment="1">
      <alignment horizontal="center" vertical="center" wrapText="1"/>
    </xf>
    <xf numFmtId="0" fontId="23" fillId="0" borderId="0" xfId="0" applyFont="1" applyAlignment="1">
      <alignment horizontal="center" wrapText="1"/>
    </xf>
    <xf numFmtId="0" fontId="120" fillId="0" borderId="0" xfId="0" applyFont="1" applyAlignment="1">
      <alignment horizontal="center"/>
    </xf>
    <xf numFmtId="0" fontId="23" fillId="25" borderId="41" xfId="0" applyFont="1" applyFill="1" applyBorder="1" applyAlignment="1">
      <alignment horizontal="center" vertical="center"/>
    </xf>
    <xf numFmtId="0" fontId="23" fillId="25" borderId="40" xfId="0" applyFont="1" applyFill="1" applyBorder="1" applyAlignment="1">
      <alignment horizontal="center" vertical="center"/>
    </xf>
    <xf numFmtId="0" fontId="7" fillId="0" borderId="22" xfId="0" applyFont="1" applyBorder="1" applyAlignment="1">
      <alignment horizontal="left" wrapText="1"/>
    </xf>
    <xf numFmtId="0" fontId="7" fillId="0" borderId="22" xfId="0" applyFont="1" applyFill="1" applyBorder="1" applyAlignment="1">
      <alignment horizontal="left" wrapText="1"/>
    </xf>
    <xf numFmtId="0" fontId="8" fillId="27" borderId="36" xfId="0" applyFont="1" applyFill="1" applyBorder="1" applyAlignment="1">
      <alignment horizontal="center" vertical="center" wrapText="1"/>
    </xf>
    <xf numFmtId="0" fontId="8" fillId="27" borderId="34" xfId="0" applyFont="1" applyFill="1" applyBorder="1" applyAlignment="1">
      <alignment horizontal="center" vertical="center" wrapText="1"/>
    </xf>
    <xf numFmtId="0" fontId="8" fillId="27" borderId="46"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27" borderId="11" xfId="0" applyFont="1" applyFill="1" applyBorder="1" applyAlignment="1">
      <alignment horizontal="center" vertical="center" wrapText="1"/>
    </xf>
    <xf numFmtId="0" fontId="8" fillId="27" borderId="2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27" borderId="31"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0" fillId="0" borderId="38" xfId="0" applyFill="1" applyBorder="1" applyAlignment="1">
      <alignment horizontal="center"/>
    </xf>
    <xf numFmtId="0" fontId="1" fillId="0" borderId="38" xfId="0" applyFont="1" applyFill="1" applyBorder="1" applyAlignment="1">
      <alignment horizontal="center"/>
    </xf>
    <xf numFmtId="0" fontId="4" fillId="0" borderId="41"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0" fillId="0" borderId="46" xfId="0" applyBorder="1"/>
    <xf numFmtId="0" fontId="18" fillId="70" borderId="34" xfId="0" applyFont="1" applyFill="1" applyBorder="1" applyAlignment="1">
      <alignment horizontal="center" vertical="center" wrapText="1"/>
    </xf>
    <xf numFmtId="0" fontId="18" fillId="70" borderId="46" xfId="0" applyFont="1" applyFill="1" applyBorder="1" applyAlignment="1">
      <alignment horizontal="center" vertical="center" wrapText="1"/>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46" xfId="0" applyFont="1" applyFill="1" applyBorder="1" applyAlignment="1">
      <alignment horizontal="center" vertical="center"/>
    </xf>
    <xf numFmtId="0" fontId="18" fillId="0" borderId="29"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70" borderId="24" xfId="0" applyFont="1" applyFill="1" applyBorder="1" applyAlignment="1">
      <alignment horizontal="center" vertical="center" wrapText="1"/>
    </xf>
    <xf numFmtId="0" fontId="18" fillId="70" borderId="44"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7" fillId="0" borderId="0" xfId="0" applyFont="1" applyFill="1" applyAlignment="1">
      <alignment horizontal="center" vertical="center"/>
    </xf>
    <xf numFmtId="0" fontId="12" fillId="0" borderId="0" xfId="0" applyFont="1" applyFill="1" applyAlignment="1">
      <alignment horizontal="center"/>
    </xf>
    <xf numFmtId="0" fontId="3" fillId="0" borderId="41" xfId="0" applyFont="1" applyBorder="1" applyAlignment="1">
      <alignment horizontal="center" vertical="center"/>
    </xf>
    <xf numFmtId="0" fontId="3" fillId="0" borderId="22" xfId="0" applyFont="1" applyBorder="1" applyAlignment="1">
      <alignment horizontal="center" vertical="center"/>
    </xf>
    <xf numFmtId="0" fontId="3" fillId="0" borderId="40" xfId="0" applyFont="1" applyBorder="1" applyAlignment="1">
      <alignment horizontal="center" vertical="center"/>
    </xf>
    <xf numFmtId="0" fontId="3" fillId="0" borderId="38" xfId="0" applyFont="1" applyBorder="1" applyAlignment="1">
      <alignment horizontal="center" vertical="center" wrapText="1"/>
    </xf>
    <xf numFmtId="0" fontId="5" fillId="0" borderId="0" xfId="0" applyFont="1" applyAlignment="1">
      <alignment horizontal="center" vertical="center"/>
    </xf>
    <xf numFmtId="0" fontId="27" fillId="0" borderId="0" xfId="0" applyFont="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7" fillId="0" borderId="0" xfId="0" applyFont="1" applyAlignment="1">
      <alignment horizontal="center"/>
    </xf>
    <xf numFmtId="0" fontId="12" fillId="0" borderId="0" xfId="0" applyFont="1" applyAlignment="1">
      <alignment horizontal="center"/>
    </xf>
    <xf numFmtId="0" fontId="7" fillId="28" borderId="0" xfId="0" applyFont="1" applyFill="1" applyAlignment="1">
      <alignment horizontal="center"/>
    </xf>
    <xf numFmtId="49" fontId="32" fillId="0" borderId="38" xfId="0" applyNumberFormat="1" applyFont="1" applyBorder="1" applyAlignment="1">
      <alignment horizontal="center" vertical="center" wrapText="1"/>
    </xf>
    <xf numFmtId="165" fontId="29" fillId="0" borderId="0" xfId="204" applyNumberFormat="1"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center" vertical="center"/>
    </xf>
    <xf numFmtId="0" fontId="5" fillId="28" borderId="0" xfId="0" applyFont="1" applyFill="1" applyAlignment="1">
      <alignment horizontal="center" vertical="center" wrapText="1"/>
    </xf>
    <xf numFmtId="164" fontId="29" fillId="0" borderId="38" xfId="204" applyFont="1" applyBorder="1" applyAlignment="1">
      <alignment horizontal="center" vertical="center"/>
    </xf>
    <xf numFmtId="164" fontId="29" fillId="0" borderId="41" xfId="204" applyFont="1" applyBorder="1" applyAlignment="1">
      <alignment horizontal="center" vertical="center"/>
    </xf>
    <xf numFmtId="164" fontId="29" fillId="0" borderId="40" xfId="204" applyFont="1" applyBorder="1" applyAlignment="1">
      <alignment horizontal="center" vertical="center"/>
    </xf>
    <xf numFmtId="164" fontId="29" fillId="0" borderId="83" xfId="204" applyFont="1" applyBorder="1" applyAlignment="1">
      <alignment horizontal="center" vertical="center" wrapText="1"/>
    </xf>
    <xf numFmtId="164" fontId="29" fillId="0" borderId="84" xfId="204" applyFont="1" applyBorder="1" applyAlignment="1">
      <alignment horizontal="center" vertical="center" wrapText="1"/>
    </xf>
    <xf numFmtId="164" fontId="29" fillId="0" borderId="35" xfId="204" applyFont="1" applyBorder="1" applyAlignment="1">
      <alignment horizontal="center" vertical="center"/>
    </xf>
    <xf numFmtId="164" fontId="32" fillId="0" borderId="38" xfId="204" applyFont="1" applyBorder="1" applyAlignment="1">
      <alignment horizontal="center" vertical="center" wrapText="1"/>
    </xf>
    <xf numFmtId="0" fontId="7" fillId="0" borderId="0" xfId="0" applyFont="1" applyAlignment="1">
      <alignment horizontal="center" vertical="center"/>
    </xf>
    <xf numFmtId="0" fontId="5" fillId="28" borderId="0" xfId="0" applyFont="1" applyFill="1" applyAlignment="1">
      <alignment horizontal="center" vertical="center"/>
    </xf>
    <xf numFmtId="0" fontId="7" fillId="0" borderId="38" xfId="0" applyFont="1" applyBorder="1" applyAlignment="1">
      <alignment horizontal="center" vertical="center"/>
    </xf>
    <xf numFmtId="0" fontId="18" fillId="70" borderId="31" xfId="0" applyFont="1" applyFill="1" applyBorder="1" applyAlignment="1">
      <alignment horizontal="center" vertical="center"/>
    </xf>
    <xf numFmtId="0" fontId="18" fillId="70" borderId="29" xfId="0" applyFont="1" applyFill="1" applyBorder="1" applyAlignment="1">
      <alignment horizontal="center" vertical="center"/>
    </xf>
    <xf numFmtId="0" fontId="5" fillId="0" borderId="0" xfId="0" applyFont="1" applyFill="1" applyBorder="1" applyAlignment="1">
      <alignment horizontal="center" vertical="center" wrapText="1"/>
    </xf>
    <xf numFmtId="0" fontId="18" fillId="70" borderId="11" xfId="0" applyFont="1" applyFill="1" applyBorder="1" applyAlignment="1">
      <alignment horizontal="center" vertical="center"/>
    </xf>
  </cellXfs>
  <cellStyles count="211">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37"/>
    <cellStyle name="col" xfId="38"/>
    <cellStyle name="ex57" xfId="39"/>
    <cellStyle name="ex58" xfId="209"/>
    <cellStyle name="ex59" xfId="40"/>
    <cellStyle name="ex63" xfId="208"/>
    <cellStyle name="ex66" xfId="41"/>
    <cellStyle name="ex68" xfId="207"/>
    <cellStyle name="st35" xfId="42"/>
    <cellStyle name="st36" xfId="43"/>
    <cellStyle name="st37" xfId="44"/>
    <cellStyle name="st38" xfId="45"/>
    <cellStyle name="st39" xfId="46"/>
    <cellStyle name="st39 2" xfId="47"/>
    <cellStyle name="st40" xfId="48"/>
    <cellStyle name="style0" xfId="49"/>
    <cellStyle name="td" xfId="50"/>
    <cellStyle name="tr" xfId="51"/>
    <cellStyle name="xl21" xfId="52"/>
    <cellStyle name="xl21 2" xfId="53"/>
    <cellStyle name="xl22" xfId="54"/>
    <cellStyle name="xl22 2" xfId="55"/>
    <cellStyle name="xl23" xfId="56"/>
    <cellStyle name="xl23 2" xfId="57"/>
    <cellStyle name="xl24" xfId="58"/>
    <cellStyle name="xl24 2" xfId="59"/>
    <cellStyle name="xl25" xfId="60"/>
    <cellStyle name="xl25 2" xfId="61"/>
    <cellStyle name="xl25 3" xfId="62"/>
    <cellStyle name="xl26" xfId="63"/>
    <cellStyle name="xl26 2" xfId="64"/>
    <cellStyle name="xl27" xfId="65"/>
    <cellStyle name="xl27 2" xfId="66"/>
    <cellStyle name="xl27 3" xfId="67"/>
    <cellStyle name="xl28" xfId="68"/>
    <cellStyle name="xl28 2" xfId="69"/>
    <cellStyle name="xl28 3" xfId="70"/>
    <cellStyle name="xl29" xfId="71"/>
    <cellStyle name="xl29 2" xfId="72"/>
    <cellStyle name="xl29 3" xfId="73"/>
    <cellStyle name="xl30" xfId="74"/>
    <cellStyle name="xl30 2" xfId="75"/>
    <cellStyle name="xl30 3" xfId="76"/>
    <cellStyle name="xl31" xfId="77"/>
    <cellStyle name="xl31 2" xfId="78"/>
    <cellStyle name="xl31 3" xfId="79"/>
    <cellStyle name="xl31 4" xfId="80"/>
    <cellStyle name="xl32" xfId="81"/>
    <cellStyle name="xl32 2" xfId="82"/>
    <cellStyle name="xl32 3" xfId="83"/>
    <cellStyle name="xl33" xfId="84"/>
    <cellStyle name="xl33 2" xfId="85"/>
    <cellStyle name="xl33 3" xfId="86"/>
    <cellStyle name="xl33 4" xfId="87"/>
    <cellStyle name="xl34" xfId="88"/>
    <cellStyle name="xl34 2" xfId="89"/>
    <cellStyle name="xl34 3" xfId="90"/>
    <cellStyle name="xl34 4" xfId="91"/>
    <cellStyle name="xl35" xfId="92"/>
    <cellStyle name="xl35 2" xfId="93"/>
    <cellStyle name="xl35 3" xfId="94"/>
    <cellStyle name="xl36" xfId="95"/>
    <cellStyle name="xl36 2" xfId="96"/>
    <cellStyle name="xl36 3" xfId="97"/>
    <cellStyle name="xl37" xfId="98"/>
    <cellStyle name="xl37 2" xfId="99"/>
    <cellStyle name="xl37 3" xfId="100"/>
    <cellStyle name="xl38" xfId="101"/>
    <cellStyle name="xl38 2" xfId="102"/>
    <cellStyle name="xl38 3" xfId="103"/>
    <cellStyle name="xl39" xfId="104"/>
    <cellStyle name="xl39 2" xfId="105"/>
    <cellStyle name="xl39 3" xfId="106"/>
    <cellStyle name="xl39 4" xfId="107"/>
    <cellStyle name="xl40" xfId="108"/>
    <cellStyle name="xl40 2" xfId="109"/>
    <cellStyle name="xl40 3" xfId="110"/>
    <cellStyle name="xl40 4" xfId="111"/>
    <cellStyle name="xl41" xfId="112"/>
    <cellStyle name="xl41 2" xfId="113"/>
    <cellStyle name="xl41 3" xfId="114"/>
    <cellStyle name="xl41 4" xfId="115"/>
    <cellStyle name="xl42" xfId="116"/>
    <cellStyle name="xl42 2" xfId="117"/>
    <cellStyle name="xl42 3" xfId="118"/>
    <cellStyle name="xl42 4" xfId="119"/>
    <cellStyle name="xl42 9" xfId="120"/>
    <cellStyle name="xl43" xfId="121"/>
    <cellStyle name="xl43 2" xfId="122"/>
    <cellStyle name="xl43 3" xfId="123"/>
    <cellStyle name="xl43 4" xfId="124"/>
    <cellStyle name="xl44" xfId="125"/>
    <cellStyle name="xl44 2" xfId="126"/>
    <cellStyle name="xl44 3" xfId="127"/>
    <cellStyle name="xl44 4" xfId="128"/>
    <cellStyle name="xl45" xfId="129"/>
    <cellStyle name="xl45 2" xfId="130"/>
    <cellStyle name="xl45 3" xfId="131"/>
    <cellStyle name="xl46" xfId="132"/>
    <cellStyle name="xl46 2" xfId="133"/>
    <cellStyle name="xl46 3" xfId="134"/>
    <cellStyle name="xl47" xfId="135"/>
    <cellStyle name="xl47 2" xfId="136"/>
    <cellStyle name="xl47 3" xfId="137"/>
    <cellStyle name="xl48" xfId="138"/>
    <cellStyle name="xl48 2" xfId="139"/>
    <cellStyle name="xl48 3" xfId="140"/>
    <cellStyle name="xl49" xfId="141"/>
    <cellStyle name="xl49 2" xfId="142"/>
    <cellStyle name="xl50" xfId="143"/>
    <cellStyle name="xl50 2" xfId="144"/>
    <cellStyle name="xl51" xfId="145"/>
    <cellStyle name="xl52" xfId="146"/>
    <cellStyle name="xl53" xfId="147"/>
    <cellStyle name="xl54" xfId="148"/>
    <cellStyle name="xl56" xfId="210"/>
    <cellStyle name="Акцент1" xfId="149" builtinId="29" customBuiltin="1"/>
    <cellStyle name="Акцент1 2" xfId="150"/>
    <cellStyle name="Акцент2" xfId="151" builtinId="33" customBuiltin="1"/>
    <cellStyle name="Акцент2 2" xfId="152"/>
    <cellStyle name="Акцент3" xfId="153" builtinId="37" customBuiltin="1"/>
    <cellStyle name="Акцент3 2" xfId="154"/>
    <cellStyle name="Акцент4" xfId="155" builtinId="41" customBuiltin="1"/>
    <cellStyle name="Акцент4 2" xfId="156"/>
    <cellStyle name="Акцент5" xfId="157" builtinId="45" customBuiltin="1"/>
    <cellStyle name="Акцент5 2" xfId="158"/>
    <cellStyle name="Акцент6" xfId="159" builtinId="49" customBuiltin="1"/>
    <cellStyle name="Акцент6 2" xfId="160"/>
    <cellStyle name="Ввод " xfId="161" builtinId="20" customBuiltin="1"/>
    <cellStyle name="Ввод  2" xfId="162"/>
    <cellStyle name="Вывод" xfId="163" builtinId="21" customBuiltin="1"/>
    <cellStyle name="Вывод 2" xfId="164"/>
    <cellStyle name="Вычисление" xfId="165" builtinId="22" customBuiltin="1"/>
    <cellStyle name="Вычисление 2" xfId="166"/>
    <cellStyle name="Заголовок 1" xfId="167" builtinId="16" customBuiltin="1"/>
    <cellStyle name="Заголовок 1 2" xfId="168"/>
    <cellStyle name="Заголовок 2" xfId="169" builtinId="17" customBuiltin="1"/>
    <cellStyle name="Заголовок 2 2" xfId="170"/>
    <cellStyle name="Заголовок 3" xfId="171" builtinId="18" customBuiltin="1"/>
    <cellStyle name="Заголовок 3 2" xfId="172"/>
    <cellStyle name="Заголовок 4" xfId="173" builtinId="19" customBuiltin="1"/>
    <cellStyle name="Заголовок 4 2" xfId="174"/>
    <cellStyle name="Итог" xfId="175" builtinId="25" customBuiltin="1"/>
    <cellStyle name="Итог 2" xfId="176"/>
    <cellStyle name="Контрольная ячейка" xfId="177" builtinId="23" customBuiltin="1"/>
    <cellStyle name="Контрольная ячейка 2" xfId="178"/>
    <cellStyle name="Название" xfId="179" builtinId="15" customBuiltin="1"/>
    <cellStyle name="Название 2" xfId="180"/>
    <cellStyle name="Нейтральный" xfId="181" builtinId="28" customBuiltin="1"/>
    <cellStyle name="Нейтральный 2" xfId="182"/>
    <cellStyle name="Обычный" xfId="0" builtinId="0"/>
    <cellStyle name="Обычный 2" xfId="183"/>
    <cellStyle name="Обычный 3" xfId="184"/>
    <cellStyle name="Обычный 4" xfId="185"/>
    <cellStyle name="Обычный 5" xfId="186"/>
    <cellStyle name="Обычный_Нераспределенная  субсидия" xfId="187"/>
    <cellStyle name="Обычный_Нераспределенные  иные  МБТ" xfId="188"/>
    <cellStyle name="Обычный_Проверочная  таблица  к  отчету" xfId="189"/>
    <cellStyle name="Обычный_Проверочная  таблица  к  отчету_1" xfId="190"/>
    <cellStyle name="Обычный_Прочая  субсидия_МР  и  ГО_факт" xfId="191"/>
    <cellStyle name="Обычный_Субвенция  на  полномочия" xfId="192"/>
    <cellStyle name="Обычный_Субвенция  на  полномочия_факт" xfId="193"/>
    <cellStyle name="Плохой" xfId="194" builtinId="27" customBuiltin="1"/>
    <cellStyle name="Плохой 2" xfId="195"/>
    <cellStyle name="Пояснение" xfId="196" builtinId="53" customBuiltin="1"/>
    <cellStyle name="Пояснение 2" xfId="197"/>
    <cellStyle name="Примечание" xfId="198" builtinId="10" customBuiltin="1"/>
    <cellStyle name="Примечание 2" xfId="199"/>
    <cellStyle name="Связанная ячейка" xfId="200" builtinId="24" customBuiltin="1"/>
    <cellStyle name="Связанная ячейка 2" xfId="201"/>
    <cellStyle name="Текст предупреждения" xfId="202" builtinId="11" customBuiltin="1"/>
    <cellStyle name="Текст предупреждения 2" xfId="203"/>
    <cellStyle name="Финансовый" xfId="204" builtinId="3"/>
    <cellStyle name="Хороший" xfId="205" builtinId="26" customBuiltin="1"/>
    <cellStyle name="Хороший 2" xfId="206"/>
  </cellStyles>
  <dxfs count="0"/>
  <tableStyles count="0"/>
  <colors>
    <mruColors>
      <color rgb="FFCCFFFF"/>
      <color rgb="FF66FF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1054;&#1073;&#1084;&#1077;&#1085;\!&#1048;&#1089;&#1093;&#1086;&#1076;&#1103;&#1097;&#1080;&#1077;\&#1052;&#1077;&#1078;&#1073;&#1102;&#1076;&#1078;&#1077;&#1090;&#1085;&#1099;&#1077;%20%20&#1090;&#1088;&#1072;&#1085;&#1089;&#1092;&#1077;&#1088;&#1090;&#1099;%20%202021_&#1095;&#1072;&#1089;&#1090;&#1100;%20%20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1054;&#1073;&#1084;&#1077;&#1085;\!&#1048;&#1089;&#1093;&#1086;&#1076;&#1103;&#1097;&#1080;&#1077;\&#1052;&#1077;&#1078;&#1073;&#1102;&#1076;&#1078;&#1077;&#1090;&#1085;&#1099;&#1077;%20%20&#1090;&#1088;&#1072;&#1085;&#1089;&#1092;&#1077;&#1088;&#1090;&#1099;%20%202021_&#1095;&#1072;&#1089;&#1090;&#1100;%20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ля  иных  МБТ_план"/>
      <sheetName val="доля  иных  МБТ_факт"/>
      <sheetName val="Сравнение  ФП"/>
      <sheetName val="Финансовая  помощь  (план)"/>
      <sheetName val="Финансовая  помощь  (факт)"/>
      <sheetName val="Расходы  без  учета  МБТ (план)"/>
      <sheetName val="Расходы  за  счет  МБТ  (план)"/>
      <sheetName val="Итого расходов по отраслям_план"/>
      <sheetName val="Расходы  по отраслям_точно_план"/>
      <sheetName val="Доходы  3  года"/>
      <sheetName val="Проект  бюджета"/>
      <sheetName val="Регулирование  МР  и  ГО"/>
      <sheetName val="Регулирование  БП"/>
      <sheetName val="Регулирование  КБ"/>
      <sheetName val="Доходы  МР  и  ГО  на  3  года"/>
      <sheetName val="Доходы  МР и  ГО  на 3 года_3 "/>
      <sheetName val="Бюджет  МР  и  ГО"/>
      <sheetName val="Бюджет  поселений"/>
      <sheetName val="Консолидированный  бюджет  МО"/>
      <sheetName val="Приложен. по нормативам МР и ГО"/>
      <sheetName val="Приложен. по нормативам МР  (2)"/>
      <sheetName val="Приложение по нормативам_акцизы"/>
      <sheetName val="Приложение_перечень субсид_план"/>
      <sheetName val="Приложение_перечень субсид_факт"/>
      <sheetName val="Прилож. по дотации_ФФПМР_план"/>
      <sheetName val="Прилож. по дотации_ФФПМР_факт "/>
      <sheetName val="Приложение по дотации_ФФПП_план"/>
      <sheetName val="Приложение по дотации_ФФПП_факт"/>
      <sheetName val="Дотация  из  ФСМБ_БП_план"/>
      <sheetName val="Приложение по субвенции_МР_план"/>
      <sheetName val="Вставка  в  закон"/>
      <sheetName val="Приложение по субвенции_МР_факт"/>
      <sheetName val="Приложение по субвении_БП_план"/>
      <sheetName val="Приложение по субвении_БП_факт"/>
      <sheetName val="Приложение  по  субсидии_проект"/>
      <sheetName val="Приложение  по  субсидии  план"/>
      <sheetName val="Приложение  по  ГП  1_план"/>
      <sheetName val="Приложение  по  ГП  4_план"/>
      <sheetName val="Приложение  по  ГП  5_план"/>
      <sheetName val="Приложение  по  ГП  6_план"/>
      <sheetName val="Приложение  по  ГП  7_план"/>
      <sheetName val="Приложение  по  ГП  8_план"/>
      <sheetName val="Приложение  по  ГП  10_план"/>
      <sheetName val="Приложение  по  ГП  12_план"/>
      <sheetName val="Приложение  по  ГП  13_план"/>
      <sheetName val="Приложение  по  ГП  14_план"/>
      <sheetName val="Приложение  по  ГП  16_план"/>
      <sheetName val="Приложение  по  ГП  18_план"/>
      <sheetName val="Приложение  по  ГП  20_план"/>
      <sheetName val="Приложение  по  ГП  21_план"/>
      <sheetName val="Приложение  по  субсидии_март"/>
      <sheetName val="Приложение  по  субсидии_май"/>
      <sheetName val="Приложение  по  субсидии_июль"/>
      <sheetName val="Приложение  по  субсидии_август"/>
      <sheetName val="Приложение  по субсидии_октябрь"/>
      <sheetName val="Приложение  по  ГП  1_факт"/>
      <sheetName val="Приложение  по  ГП  4_факт"/>
      <sheetName val="Приложение  по  ГП  5_факт"/>
      <sheetName val="Приложение  по  ГП  6_факт"/>
      <sheetName val="Приложение  по  ГП  7_факт"/>
      <sheetName val="Приложение  по  ГП  8_факт"/>
      <sheetName val="Приложение  по  ГП  10_факт"/>
      <sheetName val="Приложение  по  ГП  12_факт"/>
      <sheetName val="Приложение  по  ГП  13_факт"/>
      <sheetName val="Приложение  по  ГП  14_факт"/>
      <sheetName val="Приложение  по  ГП  16_факт"/>
      <sheetName val="Приложение  по  ГП  18_факт"/>
      <sheetName val="Приложение  по  ГП  20_факт"/>
      <sheetName val="Приложение  по  ГП  21_факт"/>
      <sheetName val="Приложен. по субвенции_МР_план"/>
      <sheetName val="Приложен. по субвенции_МР_факт"/>
      <sheetName val="План по субвенции_МР_2021-2023"/>
      <sheetName val="Субвенция,  иные  МБТ_2021-2023"/>
      <sheetName val="Дотация  2021 - 2023"/>
      <sheetName val="Дотация  поселениям_2021 - 2023"/>
      <sheetName val="Дотация  из  ОБ_план"/>
      <sheetName val="Дотация  из  ОБ_факт"/>
      <sheetName val="Субвенция_план"/>
      <sheetName val="Субвенция_факт"/>
      <sheetName val="Субвенция  ВУС_Хранилище"/>
      <sheetName val="Субвенция  ВУС_для  ограничений"/>
      <sheetName val="Субсидия_факт"/>
      <sheetName val="Нераспределенная  субсидия"/>
      <sheetName val="Капвложения по отраслям_факт"/>
      <sheetName val="Иные межбюджетные трансферты"/>
      <sheetName val="МБТ  2020 - 2021"/>
      <sheetName val="МБТ  2020 - 2021_2 (2)"/>
      <sheetName val="МБТ  2020 - 2021_2 (3)"/>
      <sheetName val="МБТ  2020 - 2021_2"/>
      <sheetName val="МБТ  2020 - 2021 (2)"/>
      <sheetName val="Дотация  ОМС"/>
      <sheetName val="Фонды 2021-2023_для закона_ (2)"/>
      <sheetName val="Фонды 2021-2023_для закона_план"/>
      <sheetName val="Фонды 2020-2023_для закона_факт"/>
      <sheetName val="Утвержденный  объем  МБТ"/>
      <sheetName val="Утвержденный  объем  МБТ (2)"/>
      <sheetName val="Факт  средств  из  ОБ_год "/>
      <sheetName val="Отклонение руб.коп. от тыс.руб."/>
      <sheetName val="Сводная  таблица"/>
    </sheetNames>
    <sheetDataSet>
      <sheetData sheetId="0"/>
      <sheetData sheetId="1"/>
      <sheetData sheetId="2"/>
      <sheetData sheetId="3"/>
      <sheetData sheetId="4">
        <row r="38">
          <cell r="P38">
            <v>2835169.21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8">
          <cell r="G8">
            <v>26708000</v>
          </cell>
          <cell r="K8">
            <v>0</v>
          </cell>
          <cell r="M8">
            <v>60061600</v>
          </cell>
          <cell r="Q8">
            <v>21208079.999999996</v>
          </cell>
          <cell r="S8">
            <v>29726582.000000004</v>
          </cell>
          <cell r="W8">
            <v>0</v>
          </cell>
          <cell r="Y8">
            <v>382500</v>
          </cell>
          <cell r="AG8">
            <v>318584</v>
          </cell>
        </row>
        <row r="9">
          <cell r="G9">
            <v>135797000</v>
          </cell>
          <cell r="K9">
            <v>86574000</v>
          </cell>
          <cell r="M9">
            <v>31183800</v>
          </cell>
          <cell r="Q9">
            <v>4931530</v>
          </cell>
          <cell r="S9">
            <v>61463432</v>
          </cell>
          <cell r="W9">
            <v>35294602</v>
          </cell>
          <cell r="AA9">
            <v>1800000</v>
          </cell>
          <cell r="AG9">
            <v>1620550</v>
          </cell>
        </row>
        <row r="10">
          <cell r="G10">
            <v>14763000</v>
          </cell>
          <cell r="K10">
            <v>7269000</v>
          </cell>
          <cell r="M10">
            <v>94696900</v>
          </cell>
          <cell r="Q10">
            <v>32863119.999999996</v>
          </cell>
          <cell r="S10">
            <v>63246894.999999993</v>
          </cell>
          <cell r="W10">
            <v>19933640</v>
          </cell>
          <cell r="Y10">
            <v>280500</v>
          </cell>
          <cell r="AA10">
            <v>750000</v>
          </cell>
          <cell r="AC10">
            <v>1000000</v>
          </cell>
        </row>
        <row r="11">
          <cell r="G11">
            <v>42108000</v>
          </cell>
          <cell r="K11">
            <v>0</v>
          </cell>
          <cell r="M11">
            <v>1357700</v>
          </cell>
          <cell r="Q11">
            <v>4028549.9999999995</v>
          </cell>
          <cell r="S11">
            <v>38353889</v>
          </cell>
          <cell r="W11">
            <v>0</v>
          </cell>
          <cell r="Y11">
            <v>229500</v>
          </cell>
          <cell r="AG11">
            <v>1458461</v>
          </cell>
        </row>
        <row r="12">
          <cell r="G12">
            <v>24095000</v>
          </cell>
          <cell r="K12">
            <v>0</v>
          </cell>
          <cell r="M12">
            <v>60187600</v>
          </cell>
          <cell r="Q12">
            <v>155480990.00000003</v>
          </cell>
          <cell r="S12">
            <v>81830563.000000015</v>
          </cell>
          <cell r="W12">
            <v>0</v>
          </cell>
          <cell r="Y12">
            <v>1198500</v>
          </cell>
          <cell r="AG12">
            <v>1928121</v>
          </cell>
        </row>
        <row r="13">
          <cell r="G13">
            <v>24472000</v>
          </cell>
          <cell r="K13">
            <v>0</v>
          </cell>
          <cell r="M13">
            <v>49830600</v>
          </cell>
          <cell r="Q13">
            <v>1911080</v>
          </cell>
          <cell r="S13">
            <v>27525163.999999996</v>
          </cell>
          <cell r="W13">
            <v>0</v>
          </cell>
        </row>
        <row r="14">
          <cell r="G14">
            <v>33605000</v>
          </cell>
          <cell r="K14">
            <v>0</v>
          </cell>
          <cell r="M14">
            <v>2011400</v>
          </cell>
          <cell r="Q14">
            <v>20219270</v>
          </cell>
          <cell r="S14">
            <v>32254286</v>
          </cell>
          <cell r="W14">
            <v>0</v>
          </cell>
          <cell r="Y14">
            <v>331500</v>
          </cell>
          <cell r="AC14">
            <v>900000</v>
          </cell>
        </row>
        <row r="15">
          <cell r="G15">
            <v>45899000</v>
          </cell>
          <cell r="K15">
            <v>10719000</v>
          </cell>
          <cell r="M15">
            <v>79103900</v>
          </cell>
          <cell r="Q15">
            <v>32520660</v>
          </cell>
          <cell r="S15">
            <v>49771050</v>
          </cell>
          <cell r="W15">
            <v>9949577.9999999981</v>
          </cell>
          <cell r="Y15">
            <v>191250</v>
          </cell>
          <cell r="AC15">
            <v>700000</v>
          </cell>
          <cell r="AE15">
            <v>1500000</v>
          </cell>
        </row>
        <row r="16">
          <cell r="G16">
            <v>18378000</v>
          </cell>
          <cell r="K16">
            <v>0</v>
          </cell>
          <cell r="M16">
            <v>96942400</v>
          </cell>
          <cell r="Q16">
            <v>1303780</v>
          </cell>
          <cell r="S16">
            <v>37709797</v>
          </cell>
          <cell r="W16">
            <v>0</v>
          </cell>
          <cell r="Y16">
            <v>612000</v>
          </cell>
          <cell r="AC16">
            <v>600000</v>
          </cell>
          <cell r="AG16">
            <v>199817</v>
          </cell>
        </row>
        <row r="17">
          <cell r="G17">
            <v>4246000</v>
          </cell>
          <cell r="K17">
            <v>0</v>
          </cell>
          <cell r="M17">
            <v>41962400</v>
          </cell>
          <cell r="Q17">
            <v>26947840</v>
          </cell>
          <cell r="S17">
            <v>34133109</v>
          </cell>
          <cell r="W17">
            <v>0</v>
          </cell>
          <cell r="Y17">
            <v>403750</v>
          </cell>
        </row>
        <row r="18">
          <cell r="G18">
            <v>24172000</v>
          </cell>
          <cell r="K18">
            <v>0</v>
          </cell>
          <cell r="M18">
            <v>102216400</v>
          </cell>
          <cell r="Q18">
            <v>4409550</v>
          </cell>
          <cell r="S18">
            <v>88239507.999999985</v>
          </cell>
          <cell r="W18">
            <v>46687214.000000007</v>
          </cell>
          <cell r="Y18">
            <v>212500</v>
          </cell>
          <cell r="AC18">
            <v>1500000</v>
          </cell>
          <cell r="AE18">
            <v>600000</v>
          </cell>
          <cell r="AG18">
            <v>1873784</v>
          </cell>
        </row>
        <row r="19">
          <cell r="G19">
            <v>9845540</v>
          </cell>
          <cell r="K19">
            <v>0</v>
          </cell>
          <cell r="M19">
            <v>23625300</v>
          </cell>
          <cell r="Q19">
            <v>23798050</v>
          </cell>
          <cell r="S19">
            <v>25577172</v>
          </cell>
          <cell r="W19">
            <v>0</v>
          </cell>
          <cell r="Y19">
            <v>170000</v>
          </cell>
          <cell r="AC19">
            <v>800000</v>
          </cell>
        </row>
        <row r="20">
          <cell r="G20">
            <v>13070000</v>
          </cell>
          <cell r="K20">
            <v>0</v>
          </cell>
          <cell r="M20">
            <v>16757700</v>
          </cell>
          <cell r="Q20">
            <v>1378240</v>
          </cell>
          <cell r="S20">
            <v>71506228.999999985</v>
          </cell>
          <cell r="W20">
            <v>0</v>
          </cell>
          <cell r="Y20">
            <v>3060000</v>
          </cell>
          <cell r="AC20">
            <v>1200000</v>
          </cell>
          <cell r="AG20">
            <v>1693897</v>
          </cell>
        </row>
        <row r="21">
          <cell r="G21">
            <v>18871000</v>
          </cell>
          <cell r="K21">
            <v>0</v>
          </cell>
          <cell r="M21">
            <v>60428800</v>
          </cell>
          <cell r="Q21">
            <v>1425170</v>
          </cell>
          <cell r="S21">
            <v>34287287</v>
          </cell>
          <cell r="W21">
            <v>0</v>
          </cell>
        </row>
        <row r="22">
          <cell r="G22">
            <v>30358000</v>
          </cell>
          <cell r="K22">
            <v>0</v>
          </cell>
          <cell r="M22">
            <v>1629500</v>
          </cell>
          <cell r="Q22">
            <v>18161309.999999996</v>
          </cell>
          <cell r="S22">
            <v>25146495.000000004</v>
          </cell>
          <cell r="W22">
            <v>0</v>
          </cell>
          <cell r="Y22">
            <v>170000</v>
          </cell>
          <cell r="AA22">
            <v>750000</v>
          </cell>
          <cell r="AG22">
            <v>104827</v>
          </cell>
        </row>
        <row r="23">
          <cell r="G23">
            <v>108600680</v>
          </cell>
          <cell r="K23">
            <v>37150000</v>
          </cell>
          <cell r="M23">
            <v>94501200</v>
          </cell>
          <cell r="Q23">
            <v>17939770</v>
          </cell>
          <cell r="S23">
            <v>38887780.000000007</v>
          </cell>
          <cell r="W23">
            <v>6722784.0000000009</v>
          </cell>
          <cell r="Y23">
            <v>255000</v>
          </cell>
          <cell r="AA23">
            <v>1500000</v>
          </cell>
          <cell r="AC23">
            <v>1700000</v>
          </cell>
          <cell r="AG23">
            <v>1900246</v>
          </cell>
        </row>
        <row r="24">
          <cell r="G24">
            <v>26256000</v>
          </cell>
          <cell r="K24">
            <v>0</v>
          </cell>
          <cell r="M24">
            <v>52446800</v>
          </cell>
          <cell r="Q24">
            <v>44773290</v>
          </cell>
          <cell r="S24">
            <v>27368763</v>
          </cell>
          <cell r="W24">
            <v>0</v>
          </cell>
          <cell r="Y24">
            <v>340000</v>
          </cell>
          <cell r="AG24">
            <v>1401713</v>
          </cell>
        </row>
        <row r="25">
          <cell r="G25">
            <v>36760000</v>
          </cell>
          <cell r="K25">
            <v>614000</v>
          </cell>
          <cell r="M25">
            <v>2028899.9999999998</v>
          </cell>
          <cell r="Q25">
            <v>3331270.9999999995</v>
          </cell>
          <cell r="S25">
            <v>45681066.999999993</v>
          </cell>
          <cell r="W25">
            <v>9867354.0000000019</v>
          </cell>
          <cell r="Y25">
            <v>663000</v>
          </cell>
          <cell r="AA25">
            <v>1200000</v>
          </cell>
          <cell r="AE25">
            <v>900000</v>
          </cell>
        </row>
        <row r="28">
          <cell r="M28">
            <v>18619400</v>
          </cell>
          <cell r="Q28">
            <v>333355740</v>
          </cell>
          <cell r="AC28">
            <v>1100000</v>
          </cell>
        </row>
        <row r="29">
          <cell r="M29">
            <v>180751166.00000003</v>
          </cell>
          <cell r="Q29">
            <v>969977411.99999988</v>
          </cell>
          <cell r="AC29">
            <v>500000</v>
          </cell>
        </row>
        <row r="37">
          <cell r="F37">
            <v>323913939</v>
          </cell>
        </row>
        <row r="38">
          <cell r="F38">
            <v>0</v>
          </cell>
        </row>
        <row r="39">
          <cell r="F39">
            <v>0</v>
          </cell>
        </row>
        <row r="40">
          <cell r="F40">
            <v>0</v>
          </cell>
        </row>
        <row r="41">
          <cell r="F41">
            <v>0</v>
          </cell>
        </row>
        <row r="42">
          <cell r="F42">
            <v>0</v>
          </cell>
        </row>
        <row r="43">
          <cell r="F43">
            <v>4281021457</v>
          </cell>
        </row>
      </sheetData>
      <sheetData sheetId="77"/>
      <sheetData sheetId="78">
        <row r="9">
          <cell r="E9">
            <v>0</v>
          </cell>
          <cell r="F9">
            <v>0</v>
          </cell>
          <cell r="G9">
            <v>0</v>
          </cell>
          <cell r="H9">
            <v>0</v>
          </cell>
          <cell r="I9">
            <v>1310</v>
          </cell>
          <cell r="J9">
            <v>667.67499999999995</v>
          </cell>
          <cell r="K9">
            <v>3394.9391000000001</v>
          </cell>
          <cell r="L9">
            <v>1015.09</v>
          </cell>
          <cell r="M9">
            <v>584.20000000000005</v>
          </cell>
          <cell r="N9">
            <v>1115.8155300000001</v>
          </cell>
          <cell r="O9">
            <v>2869.23992</v>
          </cell>
          <cell r="P9">
            <v>50.25</v>
          </cell>
          <cell r="Q9">
            <v>3743.9500000000003</v>
          </cell>
          <cell r="R9">
            <v>0</v>
          </cell>
          <cell r="S9">
            <v>1978.3</v>
          </cell>
          <cell r="T9">
            <v>546.9</v>
          </cell>
          <cell r="U9">
            <v>14637.714000000004</v>
          </cell>
          <cell r="V9">
            <v>126953.83600000001</v>
          </cell>
          <cell r="W9">
            <v>0</v>
          </cell>
          <cell r="X9">
            <v>3</v>
          </cell>
          <cell r="Y9">
            <v>1786.4</v>
          </cell>
          <cell r="Z9">
            <v>0</v>
          </cell>
          <cell r="AA9">
            <v>587.79999999999995</v>
          </cell>
          <cell r="AB9">
            <v>595.98900000000003</v>
          </cell>
          <cell r="AC9">
            <v>1000</v>
          </cell>
          <cell r="AD9">
            <v>730.34500000000003</v>
          </cell>
          <cell r="AE9">
            <v>1588.7</v>
          </cell>
          <cell r="AF9">
            <v>3</v>
          </cell>
          <cell r="AG9">
            <v>213.26954000000001</v>
          </cell>
          <cell r="AH9">
            <v>788.17</v>
          </cell>
        </row>
        <row r="10">
          <cell r="E10">
            <v>0</v>
          </cell>
          <cell r="F10">
            <v>703.92599999999993</v>
          </cell>
          <cell r="G10">
            <v>0</v>
          </cell>
          <cell r="H10">
            <v>0</v>
          </cell>
          <cell r="I10">
            <v>1500</v>
          </cell>
          <cell r="J10">
            <v>1608.0950000000003</v>
          </cell>
          <cell r="K10">
            <v>23348.024860000001</v>
          </cell>
          <cell r="L10">
            <v>7418.92</v>
          </cell>
          <cell r="M10">
            <v>1106.2</v>
          </cell>
          <cell r="N10">
            <v>9031.6010000000006</v>
          </cell>
          <cell r="O10">
            <v>23224.116859999998</v>
          </cell>
          <cell r="P10">
            <v>50.25</v>
          </cell>
          <cell r="Q10">
            <v>19820.282000000003</v>
          </cell>
          <cell r="R10">
            <v>2765.76</v>
          </cell>
          <cell r="S10">
            <v>6371.7</v>
          </cell>
          <cell r="T10">
            <v>527.1</v>
          </cell>
          <cell r="U10">
            <v>170003.65</v>
          </cell>
          <cell r="V10">
            <v>399192.64</v>
          </cell>
          <cell r="W10">
            <v>0</v>
          </cell>
          <cell r="X10">
            <v>0.5</v>
          </cell>
          <cell r="Y10">
            <v>2387</v>
          </cell>
          <cell r="Z10">
            <v>0</v>
          </cell>
          <cell r="AA10">
            <v>1074</v>
          </cell>
          <cell r="AB10">
            <v>643.60199999999998</v>
          </cell>
          <cell r="AC10">
            <v>2000</v>
          </cell>
          <cell r="AD10">
            <v>1545.345</v>
          </cell>
          <cell r="AE10">
            <v>2268.5</v>
          </cell>
          <cell r="AF10">
            <v>0</v>
          </cell>
          <cell r="AG10">
            <v>1231.4509499999999</v>
          </cell>
          <cell r="AH10">
            <v>842.67</v>
          </cell>
        </row>
        <row r="11">
          <cell r="E11">
            <v>0</v>
          </cell>
          <cell r="F11">
            <v>0</v>
          </cell>
          <cell r="G11">
            <v>0</v>
          </cell>
          <cell r="H11">
            <v>0</v>
          </cell>
          <cell r="I11">
            <v>950</v>
          </cell>
          <cell r="J11">
            <v>3315.7910000000002</v>
          </cell>
          <cell r="K11">
            <v>7176.7602900000002</v>
          </cell>
          <cell r="L11">
            <v>3096.34</v>
          </cell>
          <cell r="M11">
            <v>1061.5999999999999</v>
          </cell>
          <cell r="N11">
            <v>3712.7135400000002</v>
          </cell>
          <cell r="O11">
            <v>9546.97768</v>
          </cell>
          <cell r="P11">
            <v>50.25</v>
          </cell>
          <cell r="Q11">
            <v>20288.968999999997</v>
          </cell>
          <cell r="R11">
            <v>675.36</v>
          </cell>
          <cell r="S11">
            <v>2584.1</v>
          </cell>
          <cell r="T11">
            <v>548.1</v>
          </cell>
          <cell r="U11">
            <v>123828.65000000001</v>
          </cell>
          <cell r="V11">
            <v>200973.76</v>
          </cell>
          <cell r="W11">
            <v>0</v>
          </cell>
          <cell r="X11">
            <v>4</v>
          </cell>
          <cell r="Y11">
            <v>2356.4499999999998</v>
          </cell>
          <cell r="Z11">
            <v>0</v>
          </cell>
          <cell r="AA11">
            <v>592.79999999999995</v>
          </cell>
          <cell r="AB11">
            <v>979.55799999999999</v>
          </cell>
          <cell r="AC11">
            <v>1600</v>
          </cell>
          <cell r="AD11">
            <v>1693.93</v>
          </cell>
          <cell r="AE11">
            <v>1382</v>
          </cell>
          <cell r="AF11">
            <v>3</v>
          </cell>
          <cell r="AG11">
            <v>464.80450000000002</v>
          </cell>
          <cell r="AH11">
            <v>900.17</v>
          </cell>
        </row>
        <row r="12">
          <cell r="E12">
            <v>0</v>
          </cell>
          <cell r="F12">
            <v>0</v>
          </cell>
          <cell r="G12">
            <v>0</v>
          </cell>
          <cell r="H12">
            <v>0</v>
          </cell>
          <cell r="I12">
            <v>2380</v>
          </cell>
          <cell r="J12">
            <v>1892.636</v>
          </cell>
          <cell r="K12">
            <v>7748.6269299999994</v>
          </cell>
          <cell r="L12">
            <v>3331.44</v>
          </cell>
          <cell r="M12">
            <v>1087.2</v>
          </cell>
          <cell r="N12">
            <v>2992.1869300000003</v>
          </cell>
          <cell r="O12">
            <v>7694.1949500000001</v>
          </cell>
          <cell r="P12">
            <v>150.75</v>
          </cell>
          <cell r="Q12">
            <v>10159.64</v>
          </cell>
          <cell r="R12">
            <v>96.48</v>
          </cell>
          <cell r="S12">
            <v>3235.5</v>
          </cell>
          <cell r="T12">
            <v>545.79999999999995</v>
          </cell>
          <cell r="U12">
            <v>37734.116999999998</v>
          </cell>
          <cell r="V12">
            <v>282679.52299999999</v>
          </cell>
          <cell r="W12">
            <v>0</v>
          </cell>
          <cell r="X12">
            <v>4</v>
          </cell>
          <cell r="Y12">
            <v>1748.8</v>
          </cell>
          <cell r="Z12">
            <v>0</v>
          </cell>
          <cell r="AA12">
            <v>585</v>
          </cell>
          <cell r="AB12">
            <v>432.13799999999998</v>
          </cell>
          <cell r="AC12">
            <v>1300</v>
          </cell>
          <cell r="AD12">
            <v>809.17500000000018</v>
          </cell>
          <cell r="AE12">
            <v>2114.9</v>
          </cell>
          <cell r="AF12">
            <v>0</v>
          </cell>
          <cell r="AG12">
            <v>515.11149</v>
          </cell>
          <cell r="AH12">
            <v>871.47</v>
          </cell>
        </row>
        <row r="13">
          <cell r="E13">
            <v>0</v>
          </cell>
          <cell r="F13">
            <v>0</v>
          </cell>
          <cell r="G13">
            <v>0</v>
          </cell>
          <cell r="H13">
            <v>0</v>
          </cell>
          <cell r="I13">
            <v>2258</v>
          </cell>
          <cell r="J13">
            <v>3004.1770000000001</v>
          </cell>
          <cell r="K13">
            <v>6631.3113099999991</v>
          </cell>
          <cell r="L13">
            <v>2163.02</v>
          </cell>
          <cell r="M13">
            <v>1248.5</v>
          </cell>
          <cell r="N13">
            <v>2366.7297899999999</v>
          </cell>
          <cell r="O13">
            <v>6085.8766100000003</v>
          </cell>
          <cell r="P13">
            <v>0</v>
          </cell>
          <cell r="Q13">
            <v>12473.804</v>
          </cell>
          <cell r="R13">
            <v>1149.72</v>
          </cell>
          <cell r="S13">
            <v>2543.1999999999998</v>
          </cell>
          <cell r="T13">
            <v>532.5</v>
          </cell>
          <cell r="U13">
            <v>79055.189999999988</v>
          </cell>
          <cell r="V13">
            <v>224179.53</v>
          </cell>
          <cell r="W13">
            <v>0</v>
          </cell>
          <cell r="X13">
            <v>3.5</v>
          </cell>
          <cell r="Y13">
            <v>1677.45</v>
          </cell>
          <cell r="Z13">
            <v>0</v>
          </cell>
          <cell r="AA13">
            <v>598.70000000000005</v>
          </cell>
          <cell r="AB13">
            <v>405.5</v>
          </cell>
          <cell r="AC13">
            <v>1296</v>
          </cell>
          <cell r="AD13">
            <v>874.34500000000003</v>
          </cell>
          <cell r="AE13">
            <v>1824.8</v>
          </cell>
          <cell r="AF13">
            <v>4</v>
          </cell>
          <cell r="AG13">
            <v>364.19051000000002</v>
          </cell>
          <cell r="AH13">
            <v>852.27</v>
          </cell>
        </row>
        <row r="14">
          <cell r="E14">
            <v>0</v>
          </cell>
          <cell r="F14">
            <v>0</v>
          </cell>
          <cell r="G14">
            <v>0</v>
          </cell>
          <cell r="H14">
            <v>0</v>
          </cell>
          <cell r="I14">
            <v>1672</v>
          </cell>
          <cell r="J14">
            <v>1216.27</v>
          </cell>
          <cell r="K14">
            <v>4871.3256100000008</v>
          </cell>
          <cell r="L14">
            <v>2043.84</v>
          </cell>
          <cell r="M14">
            <v>588</v>
          </cell>
          <cell r="N14">
            <v>1358.49289</v>
          </cell>
          <cell r="O14">
            <v>3493.2674400000001</v>
          </cell>
          <cell r="P14">
            <v>100.5</v>
          </cell>
          <cell r="Q14">
            <v>9700.2270000000008</v>
          </cell>
          <cell r="R14">
            <v>385.91999999999996</v>
          </cell>
          <cell r="S14">
            <v>1967.1</v>
          </cell>
          <cell r="T14">
            <v>549.1</v>
          </cell>
          <cell r="U14">
            <v>28754.75</v>
          </cell>
          <cell r="V14">
            <v>171543.07000000004</v>
          </cell>
          <cell r="W14">
            <v>0</v>
          </cell>
          <cell r="X14">
            <v>2</v>
          </cell>
          <cell r="Y14">
            <v>2063</v>
          </cell>
          <cell r="Z14">
            <v>0</v>
          </cell>
          <cell r="AA14">
            <v>573.5</v>
          </cell>
          <cell r="AB14">
            <v>553.08199999999999</v>
          </cell>
          <cell r="AC14">
            <v>850</v>
          </cell>
          <cell r="AD14">
            <v>698</v>
          </cell>
          <cell r="AE14">
            <v>1146.5999999999999</v>
          </cell>
          <cell r="AF14">
            <v>5</v>
          </cell>
          <cell r="AG14">
            <v>263.57652999999999</v>
          </cell>
          <cell r="AH14">
            <v>799.37</v>
          </cell>
        </row>
        <row r="15">
          <cell r="E15">
            <v>1611.62</v>
          </cell>
          <cell r="F15">
            <v>0</v>
          </cell>
          <cell r="G15">
            <v>1499.077</v>
          </cell>
          <cell r="H15">
            <v>0</v>
          </cell>
          <cell r="I15">
            <v>1900</v>
          </cell>
          <cell r="J15">
            <v>3239.9349999999999</v>
          </cell>
          <cell r="K15">
            <v>6326.3917499999998</v>
          </cell>
          <cell r="L15">
            <v>2186.6</v>
          </cell>
          <cell r="M15">
            <v>1106.9000000000001</v>
          </cell>
          <cell r="N15">
            <v>2631.92362</v>
          </cell>
          <cell r="O15">
            <v>6767.8035799999998</v>
          </cell>
          <cell r="P15">
            <v>150.75</v>
          </cell>
          <cell r="Q15">
            <v>9900.7720000000008</v>
          </cell>
          <cell r="R15">
            <v>192.95999999999998</v>
          </cell>
          <cell r="S15">
            <v>3119.5</v>
          </cell>
          <cell r="T15">
            <v>543.4</v>
          </cell>
          <cell r="U15">
            <v>87057.8</v>
          </cell>
          <cell r="V15">
            <v>223539.82</v>
          </cell>
          <cell r="W15">
            <v>0</v>
          </cell>
          <cell r="X15">
            <v>1.5</v>
          </cell>
          <cell r="Y15">
            <v>1558.7</v>
          </cell>
          <cell r="Z15">
            <v>0</v>
          </cell>
          <cell r="AA15">
            <v>576.4</v>
          </cell>
          <cell r="AB15">
            <v>652.33300000000008</v>
          </cell>
          <cell r="AC15">
            <v>1410</v>
          </cell>
          <cell r="AD15">
            <v>1424.3300000000002</v>
          </cell>
          <cell r="AE15">
            <v>1865.1</v>
          </cell>
          <cell r="AF15">
            <v>5</v>
          </cell>
          <cell r="AG15">
            <v>464.80450000000002</v>
          </cell>
          <cell r="AH15">
            <v>788.17</v>
          </cell>
        </row>
        <row r="16">
          <cell r="E16">
            <v>0</v>
          </cell>
          <cell r="F16">
            <v>746.22699999999998</v>
          </cell>
          <cell r="G16">
            <v>0</v>
          </cell>
          <cell r="H16">
            <v>0</v>
          </cell>
          <cell r="I16">
            <v>700</v>
          </cell>
          <cell r="J16">
            <v>2644.1509999999998</v>
          </cell>
          <cell r="K16">
            <v>7718.7032300000001</v>
          </cell>
          <cell r="L16">
            <v>3312.63</v>
          </cell>
          <cell r="M16">
            <v>1272.5</v>
          </cell>
          <cell r="N16">
            <v>3099.7655499999996</v>
          </cell>
          <cell r="O16">
            <v>7970.8257000000003</v>
          </cell>
          <cell r="P16">
            <v>50.25</v>
          </cell>
          <cell r="Q16">
            <v>10020.745000000001</v>
          </cell>
          <cell r="R16">
            <v>699.48</v>
          </cell>
          <cell r="S16">
            <v>2527.3000000000002</v>
          </cell>
          <cell r="T16">
            <v>546.1</v>
          </cell>
          <cell r="U16">
            <v>73418.969999999987</v>
          </cell>
          <cell r="V16">
            <v>183479.84</v>
          </cell>
          <cell r="W16">
            <v>0</v>
          </cell>
          <cell r="X16">
            <v>3.5</v>
          </cell>
          <cell r="Y16">
            <v>1829</v>
          </cell>
          <cell r="Z16">
            <v>0</v>
          </cell>
          <cell r="AA16">
            <v>586</v>
          </cell>
          <cell r="AB16">
            <v>300.34800000000001</v>
          </cell>
          <cell r="AC16">
            <v>1550</v>
          </cell>
          <cell r="AD16">
            <v>1303.3449999999998</v>
          </cell>
          <cell r="AE16">
            <v>1930.5</v>
          </cell>
          <cell r="AF16">
            <v>3.2</v>
          </cell>
          <cell r="AG16">
            <v>515.11149</v>
          </cell>
          <cell r="AH16">
            <v>852.17</v>
          </cell>
        </row>
        <row r="17">
          <cell r="E17">
            <v>0</v>
          </cell>
          <cell r="F17">
            <v>0</v>
          </cell>
          <cell r="G17">
            <v>749.53800000000001</v>
          </cell>
          <cell r="H17">
            <v>0</v>
          </cell>
          <cell r="I17">
            <v>1660</v>
          </cell>
          <cell r="J17">
            <v>1222.76</v>
          </cell>
          <cell r="K17">
            <v>4266.7484000000004</v>
          </cell>
          <cell r="L17">
            <v>1930.8400000000001</v>
          </cell>
          <cell r="M17">
            <v>581.9</v>
          </cell>
          <cell r="N17">
            <v>1443.5550600000001</v>
          </cell>
          <cell r="O17">
            <v>3711.9987299999998</v>
          </cell>
          <cell r="P17">
            <v>0</v>
          </cell>
          <cell r="Q17">
            <v>10898.786</v>
          </cell>
          <cell r="R17">
            <v>0</v>
          </cell>
          <cell r="S17">
            <v>1963.6</v>
          </cell>
          <cell r="T17">
            <v>560</v>
          </cell>
          <cell r="U17">
            <v>34936.959999999999</v>
          </cell>
          <cell r="V17">
            <v>149984.47</v>
          </cell>
          <cell r="W17">
            <v>0</v>
          </cell>
          <cell r="X17">
            <v>5</v>
          </cell>
          <cell r="Y17">
            <v>1865</v>
          </cell>
          <cell r="Z17">
            <v>0</v>
          </cell>
          <cell r="AA17">
            <v>573.70000000000005</v>
          </cell>
          <cell r="AB17">
            <v>260.51099999999997</v>
          </cell>
          <cell r="AC17">
            <v>890</v>
          </cell>
          <cell r="AD17">
            <v>1144.345</v>
          </cell>
          <cell r="AE17">
            <v>1352.7</v>
          </cell>
          <cell r="AF17">
            <v>1</v>
          </cell>
          <cell r="AG17">
            <v>263.57652999999999</v>
          </cell>
          <cell r="AH17">
            <v>789.77</v>
          </cell>
        </row>
        <row r="18">
          <cell r="E18">
            <v>0</v>
          </cell>
          <cell r="F18">
            <v>0</v>
          </cell>
          <cell r="G18">
            <v>0</v>
          </cell>
          <cell r="H18">
            <v>0</v>
          </cell>
          <cell r="I18">
            <v>1247</v>
          </cell>
          <cell r="J18">
            <v>1512.9580000000001</v>
          </cell>
          <cell r="K18">
            <v>4034.0424000000003</v>
          </cell>
          <cell r="L18">
            <v>1563.55</v>
          </cell>
          <cell r="M18">
            <v>689</v>
          </cell>
          <cell r="N18">
            <v>1355.9910600000001</v>
          </cell>
          <cell r="O18">
            <v>3486.8341700000001</v>
          </cell>
          <cell r="P18">
            <v>0</v>
          </cell>
          <cell r="Q18">
            <v>7679.6200000000008</v>
          </cell>
          <cell r="R18">
            <v>1085.4000000000001</v>
          </cell>
          <cell r="S18">
            <v>1951.1</v>
          </cell>
          <cell r="T18">
            <v>539.70000000000005</v>
          </cell>
          <cell r="U18">
            <v>47463.34</v>
          </cell>
          <cell r="V18">
            <v>108046.43</v>
          </cell>
          <cell r="W18">
            <v>0</v>
          </cell>
          <cell r="X18">
            <v>3</v>
          </cell>
          <cell r="Y18">
            <v>1763.6</v>
          </cell>
          <cell r="Z18">
            <v>0</v>
          </cell>
          <cell r="AA18">
            <v>576.29999999999995</v>
          </cell>
          <cell r="AB18">
            <v>891.86900000000003</v>
          </cell>
          <cell r="AC18">
            <v>1173</v>
          </cell>
          <cell r="AD18">
            <v>736.17499999999995</v>
          </cell>
          <cell r="AE18">
            <v>747.8</v>
          </cell>
          <cell r="AF18">
            <v>0</v>
          </cell>
          <cell r="AG18">
            <v>213.26954000000001</v>
          </cell>
          <cell r="AH18">
            <v>760.97</v>
          </cell>
        </row>
        <row r="19">
          <cell r="E19">
            <v>0</v>
          </cell>
          <cell r="F19">
            <v>0</v>
          </cell>
          <cell r="G19">
            <v>0</v>
          </cell>
          <cell r="H19">
            <v>0</v>
          </cell>
          <cell r="I19">
            <v>1410</v>
          </cell>
          <cell r="J19">
            <v>4074.3320000000003</v>
          </cell>
          <cell r="K19">
            <v>11991.999589999999</v>
          </cell>
          <cell r="L19">
            <v>3779.07</v>
          </cell>
          <cell r="M19">
            <v>1102.3</v>
          </cell>
          <cell r="N19">
            <v>4968.6314699999994</v>
          </cell>
          <cell r="O19">
            <v>12776.48091</v>
          </cell>
          <cell r="P19">
            <v>150.75</v>
          </cell>
          <cell r="Q19">
            <v>11460.743</v>
          </cell>
          <cell r="R19">
            <v>402</v>
          </cell>
          <cell r="S19">
            <v>3209</v>
          </cell>
          <cell r="T19">
            <v>532.1</v>
          </cell>
          <cell r="U19">
            <v>124506.54000000001</v>
          </cell>
          <cell r="V19">
            <v>249528.77</v>
          </cell>
          <cell r="W19">
            <v>0</v>
          </cell>
          <cell r="X19">
            <v>9</v>
          </cell>
          <cell r="Y19">
            <v>1994.15</v>
          </cell>
          <cell r="Z19">
            <v>0</v>
          </cell>
          <cell r="AA19">
            <v>583.29999999999995</v>
          </cell>
          <cell r="AB19">
            <v>601.65100000000007</v>
          </cell>
          <cell r="AC19">
            <v>1800</v>
          </cell>
          <cell r="AD19">
            <v>961.34500000000003</v>
          </cell>
          <cell r="AE19">
            <v>2032.4</v>
          </cell>
          <cell r="AF19">
            <v>4</v>
          </cell>
          <cell r="AG19">
            <v>565.41848000000005</v>
          </cell>
          <cell r="AH19">
            <v>842.57</v>
          </cell>
        </row>
        <row r="20">
          <cell r="E20">
            <v>0</v>
          </cell>
          <cell r="F20">
            <v>0</v>
          </cell>
          <cell r="G20">
            <v>0</v>
          </cell>
          <cell r="H20">
            <v>0</v>
          </cell>
          <cell r="I20">
            <v>1648</v>
          </cell>
          <cell r="J20">
            <v>2110.7460000000001</v>
          </cell>
          <cell r="K20">
            <v>4961.3226799999993</v>
          </cell>
          <cell r="L20">
            <v>2026.26</v>
          </cell>
          <cell r="M20">
            <v>585.4</v>
          </cell>
          <cell r="N20">
            <v>1651.2068300000001</v>
          </cell>
          <cell r="O20">
            <v>4245.9604200000003</v>
          </cell>
          <cell r="P20">
            <v>100.5</v>
          </cell>
          <cell r="Q20">
            <v>8729.9329999999991</v>
          </cell>
          <cell r="R20">
            <v>120.60000000000001</v>
          </cell>
          <cell r="S20">
            <v>1949.8055899999999</v>
          </cell>
          <cell r="T20">
            <v>537.79999999999995</v>
          </cell>
          <cell r="U20">
            <v>52871.950000000004</v>
          </cell>
          <cell r="V20">
            <v>181099.91</v>
          </cell>
          <cell r="W20">
            <v>0</v>
          </cell>
          <cell r="X20">
            <v>8.5</v>
          </cell>
          <cell r="Y20">
            <v>2326.1</v>
          </cell>
          <cell r="Z20">
            <v>0</v>
          </cell>
          <cell r="AA20">
            <v>575</v>
          </cell>
          <cell r="AB20">
            <v>235.98699999999999</v>
          </cell>
          <cell r="AC20">
            <v>1121</v>
          </cell>
          <cell r="AD20">
            <v>975.17499999999995</v>
          </cell>
          <cell r="AE20">
            <v>1279.3</v>
          </cell>
          <cell r="AF20">
            <v>0</v>
          </cell>
          <cell r="AG20">
            <v>263.57652999999999</v>
          </cell>
          <cell r="AH20">
            <v>760.97</v>
          </cell>
        </row>
        <row r="21">
          <cell r="E21">
            <v>515.5</v>
          </cell>
          <cell r="F21">
            <v>0</v>
          </cell>
          <cell r="G21">
            <v>0</v>
          </cell>
          <cell r="H21">
            <v>0</v>
          </cell>
          <cell r="I21">
            <v>3140</v>
          </cell>
          <cell r="J21">
            <v>4900.54</v>
          </cell>
          <cell r="K21">
            <v>12875.3709</v>
          </cell>
          <cell r="L21">
            <v>4114.49</v>
          </cell>
          <cell r="M21">
            <v>1098.3</v>
          </cell>
          <cell r="N21">
            <v>5821.7549900000004</v>
          </cell>
          <cell r="O21">
            <v>14970.227130000001</v>
          </cell>
          <cell r="P21">
            <v>0</v>
          </cell>
          <cell r="Q21">
            <v>17349.917000000001</v>
          </cell>
          <cell r="R21">
            <v>1061.28</v>
          </cell>
          <cell r="S21">
            <v>4806.8</v>
          </cell>
          <cell r="T21">
            <v>553.20000000000005</v>
          </cell>
          <cell r="U21">
            <v>107565.269</v>
          </cell>
          <cell r="V21">
            <v>442333.28099999996</v>
          </cell>
          <cell r="W21">
            <v>0</v>
          </cell>
          <cell r="X21">
            <v>5</v>
          </cell>
          <cell r="Y21">
            <v>1782.1</v>
          </cell>
          <cell r="Z21">
            <v>0</v>
          </cell>
          <cell r="AA21">
            <v>573.1</v>
          </cell>
          <cell r="AB21">
            <v>1358.1819999999998</v>
          </cell>
          <cell r="AC21">
            <v>1910</v>
          </cell>
          <cell r="AD21">
            <v>885</v>
          </cell>
          <cell r="AE21">
            <v>3348.3</v>
          </cell>
          <cell r="AF21">
            <v>7</v>
          </cell>
          <cell r="AG21">
            <v>828.99500999999998</v>
          </cell>
          <cell r="AH21">
            <v>890.67</v>
          </cell>
        </row>
        <row r="22">
          <cell r="E22">
            <v>0</v>
          </cell>
          <cell r="F22">
            <v>0</v>
          </cell>
          <cell r="G22">
            <v>0</v>
          </cell>
          <cell r="H22">
            <v>0</v>
          </cell>
          <cell r="I22">
            <v>1350</v>
          </cell>
          <cell r="J22">
            <v>1394.172</v>
          </cell>
          <cell r="K22">
            <v>4129.3894799999998</v>
          </cell>
          <cell r="L22">
            <v>1735.58</v>
          </cell>
          <cell r="M22">
            <v>544.79999999999995</v>
          </cell>
          <cell r="N22">
            <v>1646.20317</v>
          </cell>
          <cell r="O22">
            <v>4233.0938799999994</v>
          </cell>
          <cell r="P22">
            <v>50.25</v>
          </cell>
          <cell r="Q22">
            <v>5540.1680000000006</v>
          </cell>
          <cell r="R22">
            <v>96.48</v>
          </cell>
          <cell r="S22">
            <v>1796.4</v>
          </cell>
          <cell r="T22">
            <v>558.20000000000005</v>
          </cell>
          <cell r="U22">
            <v>43513.060000000005</v>
          </cell>
          <cell r="V22">
            <v>148289.01</v>
          </cell>
          <cell r="W22">
            <v>0</v>
          </cell>
          <cell r="X22">
            <v>0.5</v>
          </cell>
          <cell r="Y22">
            <v>1884.1</v>
          </cell>
          <cell r="Z22">
            <v>0</v>
          </cell>
          <cell r="AA22">
            <v>586.79999999999995</v>
          </cell>
          <cell r="AB22">
            <v>644.55799999999999</v>
          </cell>
          <cell r="AC22">
            <v>1452</v>
          </cell>
          <cell r="AD22">
            <v>991.3449999999998</v>
          </cell>
          <cell r="AE22">
            <v>1502.7</v>
          </cell>
          <cell r="AF22">
            <v>0</v>
          </cell>
          <cell r="AG22">
            <v>263.57652999999999</v>
          </cell>
          <cell r="AH22">
            <v>861.87</v>
          </cell>
        </row>
        <row r="23">
          <cell r="E23">
            <v>3223.24</v>
          </cell>
          <cell r="F23">
            <v>0</v>
          </cell>
          <cell r="G23">
            <v>0</v>
          </cell>
          <cell r="H23">
            <v>0</v>
          </cell>
          <cell r="I23">
            <v>2085</v>
          </cell>
          <cell r="J23">
            <v>1841.643</v>
          </cell>
          <cell r="K23">
            <v>5138.2129499999992</v>
          </cell>
          <cell r="L23">
            <v>2832.62</v>
          </cell>
          <cell r="M23">
            <v>1127.5999999999999</v>
          </cell>
          <cell r="N23">
            <v>2139.0634</v>
          </cell>
          <cell r="O23">
            <v>5500.4487300000001</v>
          </cell>
          <cell r="P23">
            <v>50.25</v>
          </cell>
          <cell r="Q23">
            <v>3410.5509999999999</v>
          </cell>
          <cell r="R23">
            <v>24.120000000000005</v>
          </cell>
          <cell r="S23">
            <v>1893.2</v>
          </cell>
          <cell r="T23">
            <v>553.79999999999995</v>
          </cell>
          <cell r="U23">
            <v>46927.31</v>
          </cell>
          <cell r="V23">
            <v>218716.32</v>
          </cell>
          <cell r="W23">
            <v>0</v>
          </cell>
          <cell r="X23">
            <v>4</v>
          </cell>
          <cell r="Y23">
            <v>2162.6999999999998</v>
          </cell>
          <cell r="Z23">
            <v>0</v>
          </cell>
          <cell r="AA23">
            <v>595.20000000000005</v>
          </cell>
          <cell r="AB23">
            <v>878.43100000000004</v>
          </cell>
          <cell r="AC23">
            <v>1180</v>
          </cell>
          <cell r="AD23">
            <v>820.34500000000003</v>
          </cell>
          <cell r="AE23">
            <v>1397.4</v>
          </cell>
          <cell r="AF23">
            <v>4</v>
          </cell>
          <cell r="AG23">
            <v>364.19051000000002</v>
          </cell>
          <cell r="AH23">
            <v>789.4</v>
          </cell>
        </row>
        <row r="24">
          <cell r="E24">
            <v>1611.62</v>
          </cell>
          <cell r="F24">
            <v>0</v>
          </cell>
          <cell r="G24">
            <v>0</v>
          </cell>
          <cell r="H24">
            <v>0</v>
          </cell>
          <cell r="I24">
            <v>1575</v>
          </cell>
          <cell r="J24">
            <v>4989.3649999999998</v>
          </cell>
          <cell r="K24">
            <v>14261.099950000002</v>
          </cell>
          <cell r="L24">
            <v>5173.3500000000004</v>
          </cell>
          <cell r="M24">
            <v>1167</v>
          </cell>
          <cell r="N24">
            <v>4913.5912400000007</v>
          </cell>
          <cell r="O24">
            <v>12634.948890000001</v>
          </cell>
          <cell r="P24">
            <v>50.25</v>
          </cell>
          <cell r="Q24">
            <v>17053.132000000001</v>
          </cell>
          <cell r="R24">
            <v>1374.8400000000001</v>
          </cell>
          <cell r="S24">
            <v>3603.6</v>
          </cell>
          <cell r="T24">
            <v>538.5</v>
          </cell>
          <cell r="U24">
            <v>112565.46</v>
          </cell>
          <cell r="V24">
            <v>293144.35000000003</v>
          </cell>
          <cell r="W24">
            <v>485.57900000000001</v>
          </cell>
          <cell r="X24">
            <v>18</v>
          </cell>
          <cell r="Y24">
            <v>2332</v>
          </cell>
          <cell r="Z24">
            <v>0</v>
          </cell>
          <cell r="AA24">
            <v>1091.0999999999999</v>
          </cell>
          <cell r="AB24">
            <v>321.80099999999999</v>
          </cell>
          <cell r="AC24">
            <v>1690</v>
          </cell>
          <cell r="AD24">
            <v>1412.9449999999999</v>
          </cell>
          <cell r="AE24">
            <v>2697.3</v>
          </cell>
          <cell r="AF24">
            <v>5</v>
          </cell>
          <cell r="AG24">
            <v>766.64644999999996</v>
          </cell>
          <cell r="AH24">
            <v>919.47</v>
          </cell>
        </row>
        <row r="25">
          <cell r="E25">
            <v>0</v>
          </cell>
          <cell r="F25">
            <v>0</v>
          </cell>
          <cell r="G25">
            <v>0</v>
          </cell>
          <cell r="H25">
            <v>0</v>
          </cell>
          <cell r="I25">
            <v>1950</v>
          </cell>
          <cell r="J25">
            <v>1554.3610000000001</v>
          </cell>
          <cell r="K25">
            <v>4770.5962599999993</v>
          </cell>
          <cell r="L25">
            <v>1694.38</v>
          </cell>
          <cell r="M25">
            <v>596</v>
          </cell>
          <cell r="N25">
            <v>1883.8768799999998</v>
          </cell>
          <cell r="O25">
            <v>4844.2548499999994</v>
          </cell>
          <cell r="P25">
            <v>0</v>
          </cell>
          <cell r="Q25">
            <v>5399.7979999999998</v>
          </cell>
          <cell r="R25">
            <v>675.36</v>
          </cell>
          <cell r="S25">
            <v>1922.9</v>
          </cell>
          <cell r="T25">
            <v>537.20000000000005</v>
          </cell>
          <cell r="U25">
            <v>33568.97</v>
          </cell>
          <cell r="V25">
            <v>167388.89000000001</v>
          </cell>
          <cell r="W25">
            <v>0</v>
          </cell>
          <cell r="X25">
            <v>7.5</v>
          </cell>
          <cell r="Y25">
            <v>2102</v>
          </cell>
          <cell r="Z25">
            <v>0</v>
          </cell>
          <cell r="AA25">
            <v>579.70000000000005</v>
          </cell>
          <cell r="AB25">
            <v>604.24299999999994</v>
          </cell>
          <cell r="AC25">
            <v>1190</v>
          </cell>
          <cell r="AD25">
            <v>793.7</v>
          </cell>
          <cell r="AE25">
            <v>1509</v>
          </cell>
          <cell r="AF25">
            <v>0</v>
          </cell>
          <cell r="AG25">
            <v>313.88351999999998</v>
          </cell>
          <cell r="AH25">
            <v>778.17</v>
          </cell>
        </row>
        <row r="26">
          <cell r="E26">
            <v>0</v>
          </cell>
          <cell r="F26">
            <v>0</v>
          </cell>
          <cell r="G26">
            <v>0</v>
          </cell>
          <cell r="H26">
            <v>0</v>
          </cell>
          <cell r="I26">
            <v>1255</v>
          </cell>
          <cell r="J26">
            <v>3086.8319999999999</v>
          </cell>
          <cell r="K26">
            <v>9670.1943200000005</v>
          </cell>
          <cell r="L26">
            <v>3584.85</v>
          </cell>
          <cell r="M26">
            <v>1300.7</v>
          </cell>
          <cell r="N26">
            <v>3059.7362899999998</v>
          </cell>
          <cell r="O26">
            <v>7867.8933299999999</v>
          </cell>
          <cell r="P26">
            <v>50.25</v>
          </cell>
          <cell r="Q26">
            <v>7958.8539999999994</v>
          </cell>
          <cell r="R26">
            <v>804</v>
          </cell>
          <cell r="S26">
            <v>2583</v>
          </cell>
          <cell r="T26">
            <v>552.9</v>
          </cell>
          <cell r="U26">
            <v>74818.09</v>
          </cell>
          <cell r="V26">
            <v>222105.34999999998</v>
          </cell>
          <cell r="W26">
            <v>0</v>
          </cell>
          <cell r="X26">
            <v>8.5</v>
          </cell>
          <cell r="Y26">
            <v>2293.15</v>
          </cell>
          <cell r="Z26">
            <v>0</v>
          </cell>
          <cell r="AA26">
            <v>677.7</v>
          </cell>
          <cell r="AB26">
            <v>706.08600000000001</v>
          </cell>
          <cell r="AC26">
            <v>1984</v>
          </cell>
          <cell r="AD26">
            <v>1130.3449999999998</v>
          </cell>
          <cell r="AE26">
            <v>2088</v>
          </cell>
          <cell r="AF26">
            <v>2</v>
          </cell>
          <cell r="AG26">
            <v>464.80450000000002</v>
          </cell>
          <cell r="AH26">
            <v>900.97</v>
          </cell>
        </row>
        <row r="29">
          <cell r="E29">
            <v>0</v>
          </cell>
          <cell r="F29">
            <v>746.22699999999998</v>
          </cell>
          <cell r="G29">
            <v>1499.077</v>
          </cell>
          <cell r="H29">
            <v>0</v>
          </cell>
          <cell r="I29">
            <v>0</v>
          </cell>
          <cell r="J29">
            <v>12149.455</v>
          </cell>
          <cell r="K29">
            <v>27966.149699999998</v>
          </cell>
          <cell r="L29">
            <v>6155.38</v>
          </cell>
          <cell r="M29">
            <v>1225.7</v>
          </cell>
          <cell r="N29">
            <v>10632.77126</v>
          </cell>
          <cell r="O29">
            <v>27341.411809999998</v>
          </cell>
          <cell r="P29">
            <v>351.75</v>
          </cell>
          <cell r="Q29">
            <v>29395.631000000001</v>
          </cell>
          <cell r="R29">
            <v>2669.28</v>
          </cell>
          <cell r="S29">
            <v>5137.1000000000004</v>
          </cell>
          <cell r="T29">
            <v>1044.2</v>
          </cell>
          <cell r="U29">
            <v>380434.58</v>
          </cell>
          <cell r="V29">
            <v>390240.51</v>
          </cell>
          <cell r="W29">
            <v>10256.726000000001</v>
          </cell>
          <cell r="X29">
            <v>4.5</v>
          </cell>
          <cell r="Y29">
            <v>3931</v>
          </cell>
          <cell r="Z29">
            <v>6032</v>
          </cell>
          <cell r="AA29">
            <v>1151.5</v>
          </cell>
          <cell r="AB29">
            <v>3209.3490000000002</v>
          </cell>
          <cell r="AC29">
            <v>2090</v>
          </cell>
          <cell r="AD29">
            <v>2376.3450000000003</v>
          </cell>
          <cell r="AE29">
            <v>0</v>
          </cell>
          <cell r="AF29">
            <v>16</v>
          </cell>
          <cell r="AG29">
            <v>1583.5998999999999</v>
          </cell>
          <cell r="AH29">
            <v>0</v>
          </cell>
        </row>
        <row r="30">
          <cell r="E30">
            <v>1611.62</v>
          </cell>
          <cell r="F30">
            <v>6012.12</v>
          </cell>
          <cell r="G30">
            <v>5996.308</v>
          </cell>
          <cell r="H30">
            <v>0</v>
          </cell>
          <cell r="I30">
            <v>0</v>
          </cell>
          <cell r="J30">
            <v>87022.962410000007</v>
          </cell>
          <cell r="K30">
            <v>147120.48150999998</v>
          </cell>
          <cell r="L30">
            <v>31872</v>
          </cell>
          <cell r="M30">
            <v>5851.8</v>
          </cell>
          <cell r="N30">
            <v>63508.917500000003</v>
          </cell>
          <cell r="O30">
            <v>163308.64441000001</v>
          </cell>
          <cell r="P30">
            <v>1005</v>
          </cell>
          <cell r="Q30">
            <v>81930.957999999999</v>
          </cell>
          <cell r="R30">
            <v>9863.0699999999979</v>
          </cell>
          <cell r="S30">
            <v>27137.109999999997</v>
          </cell>
          <cell r="T30">
            <v>1122.0999999999999</v>
          </cell>
          <cell r="U30">
            <v>1961942.7399999998</v>
          </cell>
          <cell r="V30">
            <v>2440861.9069999997</v>
          </cell>
          <cell r="W30">
            <v>22106.195</v>
          </cell>
          <cell r="X30">
            <v>120.5</v>
          </cell>
          <cell r="Y30">
            <v>8524</v>
          </cell>
          <cell r="Z30">
            <v>15000</v>
          </cell>
          <cell r="AA30">
            <v>5262.4</v>
          </cell>
          <cell r="AB30">
            <v>20616.417000000001</v>
          </cell>
          <cell r="AC30">
            <v>15435</v>
          </cell>
          <cell r="AD30">
            <v>10663.919999999998</v>
          </cell>
          <cell r="AE30">
            <v>0</v>
          </cell>
          <cell r="AF30">
            <v>74.599999999999994</v>
          </cell>
          <cell r="AG30">
            <v>7795.4429899999996</v>
          </cell>
          <cell r="AH30">
            <v>0</v>
          </cell>
        </row>
        <row r="37">
          <cell r="D37">
            <v>12274004483.219999</v>
          </cell>
        </row>
      </sheetData>
      <sheetData sheetId="79"/>
      <sheetData sheetId="80"/>
      <sheetData sheetId="81">
        <row r="10">
          <cell r="N10">
            <v>0</v>
          </cell>
          <cell r="X10">
            <v>0</v>
          </cell>
          <cell r="Z10">
            <v>0</v>
          </cell>
          <cell r="AF10">
            <v>121350</v>
          </cell>
          <cell r="AH10">
            <v>2305650</v>
          </cell>
          <cell r="AN10">
            <v>1052700</v>
          </cell>
          <cell r="AP10">
            <v>20000000</v>
          </cell>
          <cell r="AZ10">
            <v>0</v>
          </cell>
          <cell r="BB10">
            <v>1956005.79</v>
          </cell>
          <cell r="BD10">
            <v>42878.48</v>
          </cell>
          <cell r="BF10">
            <v>0</v>
          </cell>
          <cell r="BH10">
            <v>0</v>
          </cell>
          <cell r="BL10">
            <v>0</v>
          </cell>
          <cell r="BP10">
            <v>0</v>
          </cell>
          <cell r="BX10">
            <v>0</v>
          </cell>
          <cell r="CB10">
            <v>0</v>
          </cell>
          <cell r="CR10">
            <v>0</v>
          </cell>
          <cell r="CT10">
            <v>0</v>
          </cell>
          <cell r="DJ10">
            <v>0</v>
          </cell>
          <cell r="EB10">
            <v>3000000</v>
          </cell>
          <cell r="ED10">
            <v>0</v>
          </cell>
          <cell r="EF10">
            <v>0</v>
          </cell>
          <cell r="EJ10">
            <v>116272.08</v>
          </cell>
          <cell r="EZ10">
            <v>0</v>
          </cell>
          <cell r="FF10">
            <v>0</v>
          </cell>
          <cell r="FL10">
            <v>0</v>
          </cell>
          <cell r="FN10">
            <v>0</v>
          </cell>
          <cell r="FP10">
            <v>0</v>
          </cell>
          <cell r="FR10">
            <v>0</v>
          </cell>
          <cell r="FT10">
            <v>0</v>
          </cell>
          <cell r="FV10">
            <v>0</v>
          </cell>
          <cell r="FX10">
            <v>0</v>
          </cell>
          <cell r="FZ10">
            <v>811516.06</v>
          </cell>
          <cell r="GD10">
            <v>812516.94</v>
          </cell>
          <cell r="GH10">
            <v>0</v>
          </cell>
          <cell r="GJ10">
            <v>0</v>
          </cell>
          <cell r="GP10">
            <v>1300000</v>
          </cell>
          <cell r="GR10">
            <v>0</v>
          </cell>
          <cell r="GZ10">
            <v>1225858.05</v>
          </cell>
          <cell r="HB10">
            <v>0</v>
          </cell>
          <cell r="HH10">
            <v>27690847.329999998</v>
          </cell>
          <cell r="HJ10">
            <v>0</v>
          </cell>
          <cell r="IH10">
            <v>0</v>
          </cell>
          <cell r="IZ10">
            <v>0</v>
          </cell>
          <cell r="JH10">
            <v>326980.17</v>
          </cell>
          <cell r="JJ10">
            <v>306632.61000000004</v>
          </cell>
          <cell r="JP10">
            <v>1000000</v>
          </cell>
          <cell r="JV10">
            <v>0</v>
          </cell>
          <cell r="JX10">
            <v>0</v>
          </cell>
          <cell r="KF10">
            <v>5797936.2599999998</v>
          </cell>
          <cell r="KJ10">
            <v>0</v>
          </cell>
          <cell r="KR10">
            <v>35946.36</v>
          </cell>
          <cell r="KV10">
            <v>682981.02</v>
          </cell>
          <cell r="KZ10">
            <v>0</v>
          </cell>
          <cell r="LD10">
            <v>0</v>
          </cell>
        </row>
        <row r="11">
          <cell r="N11">
            <v>0</v>
          </cell>
          <cell r="X11">
            <v>0</v>
          </cell>
          <cell r="Z11">
            <v>186957.54</v>
          </cell>
          <cell r="AF11">
            <v>0</v>
          </cell>
          <cell r="AZ11">
            <v>0</v>
          </cell>
          <cell r="BB11">
            <v>0</v>
          </cell>
          <cell r="BD11">
            <v>72648.53</v>
          </cell>
          <cell r="BF11">
            <v>266961.18</v>
          </cell>
          <cell r="BH11">
            <v>0</v>
          </cell>
          <cell r="BL11">
            <v>0</v>
          </cell>
          <cell r="BP11">
            <v>0</v>
          </cell>
          <cell r="BX11">
            <v>74109466.669999987</v>
          </cell>
          <cell r="BZ11">
            <v>190567200</v>
          </cell>
          <cell r="CB11">
            <v>77521933.329999998</v>
          </cell>
          <cell r="CR11">
            <v>0</v>
          </cell>
          <cell r="CT11">
            <v>542765.99</v>
          </cell>
          <cell r="CV11">
            <v>57805.79</v>
          </cell>
          <cell r="CZ11">
            <v>1395683.84</v>
          </cell>
          <cell r="DB11">
            <v>148643.46</v>
          </cell>
          <cell r="DJ11">
            <v>0</v>
          </cell>
          <cell r="EB11">
            <v>0</v>
          </cell>
          <cell r="ED11">
            <v>19638.91</v>
          </cell>
          <cell r="EF11">
            <v>0</v>
          </cell>
          <cell r="EJ11">
            <v>1036345.55</v>
          </cell>
          <cell r="EZ11">
            <v>0</v>
          </cell>
          <cell r="FF11">
            <v>0</v>
          </cell>
          <cell r="FL11">
            <v>0</v>
          </cell>
          <cell r="FN11">
            <v>70930611.540000007</v>
          </cell>
          <cell r="FP11">
            <v>70930611.540000007</v>
          </cell>
          <cell r="FR11">
            <v>0</v>
          </cell>
          <cell r="FT11">
            <v>9083275.5800000001</v>
          </cell>
          <cell r="FV11">
            <v>9083275.5800000001</v>
          </cell>
          <cell r="FX11">
            <v>0</v>
          </cell>
          <cell r="FZ11">
            <v>0</v>
          </cell>
          <cell r="GH11">
            <v>0</v>
          </cell>
          <cell r="GJ11">
            <v>0</v>
          </cell>
          <cell r="GP11">
            <v>0</v>
          </cell>
          <cell r="GR11">
            <v>29370000</v>
          </cell>
          <cell r="GT11">
            <v>29370000</v>
          </cell>
          <cell r="GZ11">
            <v>2005897.24</v>
          </cell>
          <cell r="HB11">
            <v>0</v>
          </cell>
          <cell r="HH11">
            <v>31971364.27</v>
          </cell>
          <cell r="HJ11">
            <v>20405915.66</v>
          </cell>
          <cell r="IH11">
            <v>14131037.450000001</v>
          </cell>
          <cell r="IZ11">
            <v>0</v>
          </cell>
          <cell r="JH11">
            <v>317538.5</v>
          </cell>
          <cell r="JJ11">
            <v>886400.31</v>
          </cell>
          <cell r="JL11">
            <v>232140.4</v>
          </cell>
          <cell r="JP11">
            <v>0</v>
          </cell>
          <cell r="JV11">
            <v>870000</v>
          </cell>
          <cell r="JX11">
            <v>870000</v>
          </cell>
          <cell r="KB11">
            <v>16530000</v>
          </cell>
          <cell r="KD11">
            <v>16530000</v>
          </cell>
          <cell r="KF11">
            <v>21989863.579999998</v>
          </cell>
          <cell r="KH11">
            <v>21989863.579999998</v>
          </cell>
          <cell r="KJ11">
            <v>0</v>
          </cell>
          <cell r="KR11">
            <v>40950.11</v>
          </cell>
          <cell r="KV11">
            <v>778052.14</v>
          </cell>
          <cell r="KZ11">
            <v>0</v>
          </cell>
          <cell r="LD11">
            <v>0</v>
          </cell>
        </row>
        <row r="12">
          <cell r="N12">
            <v>0</v>
          </cell>
          <cell r="X12">
            <v>0</v>
          </cell>
          <cell r="Z12">
            <v>332742.40000000002</v>
          </cell>
          <cell r="AF12">
            <v>0</v>
          </cell>
          <cell r="AZ12">
            <v>0</v>
          </cell>
          <cell r="BB12">
            <v>6132237.8399999999</v>
          </cell>
          <cell r="BD12">
            <v>81339.460000000006</v>
          </cell>
          <cell r="BF12">
            <v>657264.43000000005</v>
          </cell>
          <cell r="BH12">
            <v>0</v>
          </cell>
          <cell r="BL12">
            <v>0</v>
          </cell>
          <cell r="BP12">
            <v>0</v>
          </cell>
          <cell r="BX12">
            <v>0</v>
          </cell>
          <cell r="CB12">
            <v>0</v>
          </cell>
          <cell r="CR12">
            <v>40565.509999999995</v>
          </cell>
          <cell r="CT12">
            <v>88191.089999999982</v>
          </cell>
          <cell r="CV12">
            <v>67115.570000000007</v>
          </cell>
          <cell r="CX12">
            <v>104311.29</v>
          </cell>
          <cell r="CZ12">
            <v>226777.05000000005</v>
          </cell>
          <cell r="DB12">
            <v>172582.88</v>
          </cell>
          <cell r="DJ12">
            <v>0</v>
          </cell>
          <cell r="EB12">
            <v>0</v>
          </cell>
          <cell r="ED12">
            <v>8926.7800000000007</v>
          </cell>
          <cell r="EF12">
            <v>0</v>
          </cell>
          <cell r="EJ12">
            <v>570115.92000000004</v>
          </cell>
          <cell r="EL12">
            <v>8404800.120000001</v>
          </cell>
          <cell r="EN12">
            <v>32137300</v>
          </cell>
          <cell r="EP12">
            <v>2405900</v>
          </cell>
          <cell r="EZ12">
            <v>0</v>
          </cell>
          <cell r="FF12">
            <v>0</v>
          </cell>
          <cell r="FL12">
            <v>0</v>
          </cell>
          <cell r="FN12">
            <v>26967418.18</v>
          </cell>
          <cell r="FP12">
            <v>22679021.629999999</v>
          </cell>
          <cell r="FR12">
            <v>0</v>
          </cell>
          <cell r="FT12">
            <v>5610548.4700000007</v>
          </cell>
          <cell r="FV12">
            <v>4010847.08</v>
          </cell>
          <cell r="FX12">
            <v>96489.69</v>
          </cell>
          <cell r="FZ12">
            <v>0</v>
          </cell>
          <cell r="GH12">
            <v>160103.26999999999</v>
          </cell>
          <cell r="GJ12">
            <v>0</v>
          </cell>
          <cell r="GP12">
            <v>0</v>
          </cell>
          <cell r="GR12">
            <v>2024330</v>
          </cell>
          <cell r="GZ12">
            <v>1898325.46</v>
          </cell>
          <cell r="HB12">
            <v>0</v>
          </cell>
          <cell r="HH12">
            <v>18476230.16</v>
          </cell>
          <cell r="HJ12">
            <v>14467936.440000001</v>
          </cell>
          <cell r="HN12">
            <v>180934697.87</v>
          </cell>
          <cell r="IH12">
            <v>0</v>
          </cell>
          <cell r="IZ12">
            <v>3064330</v>
          </cell>
          <cell r="JD12">
            <v>7879700</v>
          </cell>
          <cell r="JH12">
            <v>450126.67999999993</v>
          </cell>
          <cell r="JJ12">
            <v>224712.9</v>
          </cell>
          <cell r="JL12">
            <v>0</v>
          </cell>
          <cell r="JP12">
            <v>2100000</v>
          </cell>
          <cell r="JR12">
            <v>2100000</v>
          </cell>
          <cell r="JV12">
            <v>870000</v>
          </cell>
          <cell r="JX12">
            <v>870000</v>
          </cell>
          <cell r="KB12">
            <v>16530000</v>
          </cell>
          <cell r="KD12">
            <v>16530000</v>
          </cell>
          <cell r="KF12">
            <v>0</v>
          </cell>
          <cell r="KJ12">
            <v>0</v>
          </cell>
          <cell r="KR12">
            <v>63896.210000000006</v>
          </cell>
          <cell r="KV12">
            <v>1214027.92</v>
          </cell>
          <cell r="KZ12">
            <v>0</v>
          </cell>
          <cell r="LD12">
            <v>0</v>
          </cell>
          <cell r="MT12">
            <v>387538.95</v>
          </cell>
          <cell r="MZ12">
            <v>7363240</v>
          </cell>
        </row>
        <row r="13">
          <cell r="N13">
            <v>4600000</v>
          </cell>
          <cell r="X13">
            <v>0</v>
          </cell>
          <cell r="Z13">
            <v>453313.63</v>
          </cell>
          <cell r="AF13">
            <v>0</v>
          </cell>
          <cell r="AZ13">
            <v>0</v>
          </cell>
          <cell r="BB13">
            <v>3554462.23</v>
          </cell>
          <cell r="BD13">
            <v>109963.12</v>
          </cell>
          <cell r="BF13">
            <v>0</v>
          </cell>
          <cell r="BH13">
            <v>0</v>
          </cell>
          <cell r="BL13">
            <v>0</v>
          </cell>
          <cell r="BP13">
            <v>0</v>
          </cell>
          <cell r="BX13">
            <v>0</v>
          </cell>
          <cell r="CB13">
            <v>0</v>
          </cell>
          <cell r="CR13">
            <v>117447.83999999997</v>
          </cell>
          <cell r="CT13">
            <v>0</v>
          </cell>
          <cell r="CX13">
            <v>302008.71000000002</v>
          </cell>
          <cell r="DJ13">
            <v>0</v>
          </cell>
          <cell r="DT13">
            <v>269612.63</v>
          </cell>
          <cell r="DV13">
            <v>5000387.37</v>
          </cell>
          <cell r="EB13">
            <v>0</v>
          </cell>
          <cell r="ED13">
            <v>32102.899999999998</v>
          </cell>
          <cell r="EF13">
            <v>0</v>
          </cell>
          <cell r="EJ13">
            <v>2229547.11</v>
          </cell>
          <cell r="EX13">
            <v>76824224</v>
          </cell>
          <cell r="FF13">
            <v>0</v>
          </cell>
          <cell r="FL13">
            <v>0</v>
          </cell>
          <cell r="FN13">
            <v>0</v>
          </cell>
          <cell r="FP13">
            <v>0</v>
          </cell>
          <cell r="FR13">
            <v>0</v>
          </cell>
          <cell r="FT13">
            <v>0</v>
          </cell>
          <cell r="FV13">
            <v>0</v>
          </cell>
          <cell r="FX13">
            <v>0</v>
          </cell>
          <cell r="FZ13">
            <v>134417.10999999999</v>
          </cell>
          <cell r="GD13">
            <v>134582.89000000001</v>
          </cell>
          <cell r="GH13">
            <v>0</v>
          </cell>
          <cell r="GJ13">
            <v>0</v>
          </cell>
          <cell r="GP13">
            <v>4937742</v>
          </cell>
          <cell r="GR13">
            <v>197575.96999999997</v>
          </cell>
          <cell r="GZ13">
            <v>1151282.6200000001</v>
          </cell>
          <cell r="HB13">
            <v>0</v>
          </cell>
          <cell r="HH13">
            <v>35408887.399999999</v>
          </cell>
          <cell r="HJ13">
            <v>0</v>
          </cell>
          <cell r="IH13">
            <v>0</v>
          </cell>
          <cell r="IZ13">
            <v>0</v>
          </cell>
          <cell r="JH13">
            <v>424428.83</v>
          </cell>
          <cell r="JJ13">
            <v>351220.49999999994</v>
          </cell>
          <cell r="JP13">
            <v>2200000</v>
          </cell>
          <cell r="JV13">
            <v>0</v>
          </cell>
          <cell r="JX13">
            <v>0</v>
          </cell>
          <cell r="KF13">
            <v>5217692.42</v>
          </cell>
          <cell r="KJ13">
            <v>0</v>
          </cell>
          <cell r="KR13">
            <v>68989.180000000008</v>
          </cell>
          <cell r="KV13">
            <v>1310794.48</v>
          </cell>
          <cell r="KZ13">
            <v>79541</v>
          </cell>
          <cell r="LD13">
            <v>1511279</v>
          </cell>
        </row>
        <row r="14">
          <cell r="N14">
            <v>0</v>
          </cell>
          <cell r="X14">
            <v>0</v>
          </cell>
          <cell r="Z14">
            <v>276445.08</v>
          </cell>
          <cell r="AF14">
            <v>0</v>
          </cell>
          <cell r="AZ14">
            <v>0</v>
          </cell>
          <cell r="BB14">
            <v>2001494.3</v>
          </cell>
          <cell r="BD14">
            <v>71088</v>
          </cell>
          <cell r="BF14">
            <v>0</v>
          </cell>
          <cell r="BH14">
            <v>4103127.7799999993</v>
          </cell>
          <cell r="BJ14">
            <v>10550900</v>
          </cell>
          <cell r="BL14">
            <v>0</v>
          </cell>
          <cell r="BP14">
            <v>0</v>
          </cell>
          <cell r="BX14">
            <v>0</v>
          </cell>
          <cell r="CB14">
            <v>0</v>
          </cell>
          <cell r="CR14">
            <v>25358.130000000005</v>
          </cell>
          <cell r="CT14">
            <v>366780.41</v>
          </cell>
          <cell r="CX14">
            <v>65206.61</v>
          </cell>
          <cell r="CZ14">
            <v>943149.49</v>
          </cell>
          <cell r="DJ14">
            <v>8441106</v>
          </cell>
          <cell r="DP14">
            <v>21705700</v>
          </cell>
          <cell r="DT14">
            <v>269612.63</v>
          </cell>
          <cell r="DV14">
            <v>5000387.37</v>
          </cell>
          <cell r="EB14">
            <v>0</v>
          </cell>
          <cell r="ED14">
            <v>4012.8599999999997</v>
          </cell>
          <cell r="EF14">
            <v>0</v>
          </cell>
          <cell r="EJ14">
            <v>543601.93999999994</v>
          </cell>
          <cell r="EP14">
            <v>633600</v>
          </cell>
          <cell r="EZ14">
            <v>19734130</v>
          </cell>
          <cell r="FF14">
            <v>0</v>
          </cell>
          <cell r="FL14">
            <v>0</v>
          </cell>
          <cell r="FN14">
            <v>0</v>
          </cell>
          <cell r="FP14">
            <v>0</v>
          </cell>
          <cell r="FR14">
            <v>0</v>
          </cell>
          <cell r="FT14">
            <v>0</v>
          </cell>
          <cell r="FV14">
            <v>0</v>
          </cell>
          <cell r="FX14">
            <v>111584.86</v>
          </cell>
          <cell r="FZ14">
            <v>0</v>
          </cell>
          <cell r="GH14">
            <v>0</v>
          </cell>
          <cell r="GJ14">
            <v>0</v>
          </cell>
          <cell r="GP14">
            <v>211689.62</v>
          </cell>
          <cell r="GR14">
            <v>4273577.95</v>
          </cell>
          <cell r="GZ14">
            <v>541762.53</v>
          </cell>
          <cell r="HB14">
            <v>0</v>
          </cell>
          <cell r="HH14">
            <v>31790901.57</v>
          </cell>
          <cell r="HJ14">
            <v>0</v>
          </cell>
          <cell r="IH14">
            <v>0</v>
          </cell>
          <cell r="IZ14">
            <v>0</v>
          </cell>
          <cell r="JH14">
            <v>135115.76999999999</v>
          </cell>
          <cell r="JJ14">
            <v>555576.91</v>
          </cell>
          <cell r="JP14">
            <v>1600000</v>
          </cell>
          <cell r="JV14">
            <v>0</v>
          </cell>
          <cell r="JX14">
            <v>0</v>
          </cell>
          <cell r="KF14">
            <v>10000000</v>
          </cell>
          <cell r="KJ14">
            <v>1511821.0500000007</v>
          </cell>
          <cell r="KN14">
            <v>28724600</v>
          </cell>
          <cell r="KR14">
            <v>123556.17000000001</v>
          </cell>
          <cell r="KV14">
            <v>2347567.15</v>
          </cell>
          <cell r="KZ14">
            <v>251539</v>
          </cell>
          <cell r="LD14">
            <v>4779241</v>
          </cell>
          <cell r="MB14">
            <v>26661600</v>
          </cell>
          <cell r="MH14">
            <v>121458400</v>
          </cell>
        </row>
        <row r="15">
          <cell r="N15">
            <v>0</v>
          </cell>
          <cell r="X15">
            <v>0</v>
          </cell>
          <cell r="Z15">
            <v>399122.83</v>
          </cell>
          <cell r="AF15">
            <v>121350</v>
          </cell>
          <cell r="AH15">
            <v>2305650</v>
          </cell>
          <cell r="AZ15">
            <v>0</v>
          </cell>
          <cell r="BB15">
            <v>3861683.87</v>
          </cell>
          <cell r="BD15">
            <v>54168.29</v>
          </cell>
          <cell r="BF15">
            <v>0</v>
          </cell>
          <cell r="BH15">
            <v>0</v>
          </cell>
          <cell r="BL15">
            <v>0</v>
          </cell>
          <cell r="BP15">
            <v>0</v>
          </cell>
          <cell r="BX15">
            <v>0</v>
          </cell>
          <cell r="CB15">
            <v>0</v>
          </cell>
          <cell r="CR15">
            <v>63060.869999999995</v>
          </cell>
          <cell r="CT15">
            <v>427536.08999999997</v>
          </cell>
          <cell r="CX15">
            <v>162156.5</v>
          </cell>
          <cell r="CZ15">
            <v>1099378.31</v>
          </cell>
          <cell r="DJ15">
            <v>0</v>
          </cell>
          <cell r="EB15">
            <v>0</v>
          </cell>
          <cell r="ED15">
            <v>23446.45</v>
          </cell>
          <cell r="EF15">
            <v>0</v>
          </cell>
          <cell r="EJ15">
            <v>796994.59</v>
          </cell>
          <cell r="EZ15">
            <v>0</v>
          </cell>
          <cell r="FF15">
            <v>0</v>
          </cell>
          <cell r="FL15">
            <v>0</v>
          </cell>
          <cell r="FN15">
            <v>0</v>
          </cell>
          <cell r="FP15">
            <v>0</v>
          </cell>
          <cell r="FR15">
            <v>0</v>
          </cell>
          <cell r="FT15">
            <v>0</v>
          </cell>
          <cell r="FV15">
            <v>0</v>
          </cell>
          <cell r="FX15">
            <v>84849.64</v>
          </cell>
          <cell r="FZ15">
            <v>758528.25</v>
          </cell>
          <cell r="GD15">
            <v>759463.75</v>
          </cell>
          <cell r="GH15">
            <v>148733.26999999999</v>
          </cell>
          <cell r="GJ15">
            <v>0</v>
          </cell>
          <cell r="GP15">
            <v>7025801</v>
          </cell>
          <cell r="GR15">
            <v>0</v>
          </cell>
          <cell r="GZ15">
            <v>452491.76</v>
          </cell>
          <cell r="HB15">
            <v>33728627.649999999</v>
          </cell>
          <cell r="HH15">
            <v>28505872.109999999</v>
          </cell>
          <cell r="HJ15">
            <v>0</v>
          </cell>
          <cell r="IH15">
            <v>0</v>
          </cell>
          <cell r="IZ15">
            <v>0</v>
          </cell>
          <cell r="JH15">
            <v>220563.42</v>
          </cell>
          <cell r="JJ15">
            <v>382613.6</v>
          </cell>
          <cell r="JP15">
            <v>1400000</v>
          </cell>
          <cell r="JV15">
            <v>0</v>
          </cell>
          <cell r="JX15">
            <v>0</v>
          </cell>
          <cell r="KF15">
            <v>3000000</v>
          </cell>
          <cell r="KJ15">
            <v>0</v>
          </cell>
          <cell r="KR15">
            <v>46884.380000000005</v>
          </cell>
          <cell r="KV15">
            <v>890803.1399999999</v>
          </cell>
          <cell r="KZ15">
            <v>0</v>
          </cell>
          <cell r="LD15">
            <v>0</v>
          </cell>
        </row>
        <row r="16">
          <cell r="N16">
            <v>0</v>
          </cell>
          <cell r="X16">
            <v>0</v>
          </cell>
          <cell r="Z16">
            <v>119736.85</v>
          </cell>
          <cell r="AF16">
            <v>0</v>
          </cell>
          <cell r="AZ16">
            <v>305665</v>
          </cell>
          <cell r="BB16">
            <v>5700580.9500000002</v>
          </cell>
          <cell r="BD16">
            <v>84958.68</v>
          </cell>
          <cell r="BF16">
            <v>0</v>
          </cell>
          <cell r="BH16">
            <v>0</v>
          </cell>
          <cell r="BL16">
            <v>141353</v>
          </cell>
          <cell r="BN16">
            <v>2685700</v>
          </cell>
          <cell r="BP16">
            <v>3281248.1300000027</v>
          </cell>
          <cell r="BR16">
            <v>62343714.469999999</v>
          </cell>
          <cell r="BX16">
            <v>0</v>
          </cell>
          <cell r="CB16">
            <v>0</v>
          </cell>
          <cell r="CR16">
            <v>157652.16000000003</v>
          </cell>
          <cell r="CT16">
            <v>0</v>
          </cell>
          <cell r="CX16">
            <v>405391.25</v>
          </cell>
          <cell r="DJ16">
            <v>0</v>
          </cell>
          <cell r="DT16">
            <v>269612.63</v>
          </cell>
          <cell r="DV16">
            <v>5000387.37</v>
          </cell>
          <cell r="EB16">
            <v>0</v>
          </cell>
          <cell r="ED16">
            <v>21642.880000000001</v>
          </cell>
          <cell r="EF16">
            <v>0</v>
          </cell>
          <cell r="EJ16">
            <v>1810368.28</v>
          </cell>
          <cell r="EP16">
            <v>1455300</v>
          </cell>
          <cell r="EZ16">
            <v>0</v>
          </cell>
          <cell r="FF16">
            <v>0</v>
          </cell>
          <cell r="FL16">
            <v>20808169.59</v>
          </cell>
          <cell r="FN16">
            <v>0</v>
          </cell>
          <cell r="FP16">
            <v>0</v>
          </cell>
          <cell r="FR16">
            <v>2556553.94</v>
          </cell>
          <cell r="FT16">
            <v>0</v>
          </cell>
          <cell r="FV16">
            <v>0</v>
          </cell>
          <cell r="FX16">
            <v>139017.20000000001</v>
          </cell>
          <cell r="FZ16">
            <v>292476.14</v>
          </cell>
          <cell r="GD16">
            <v>292836.86</v>
          </cell>
          <cell r="GH16">
            <v>0</v>
          </cell>
          <cell r="GJ16">
            <v>0</v>
          </cell>
          <cell r="GP16">
            <v>0</v>
          </cell>
          <cell r="GR16">
            <v>986144.79</v>
          </cell>
          <cell r="GZ16">
            <v>1346085.33</v>
          </cell>
          <cell r="HB16">
            <v>0</v>
          </cell>
          <cell r="HH16">
            <v>32216306.129999999</v>
          </cell>
          <cell r="HJ16">
            <v>0</v>
          </cell>
          <cell r="IH16">
            <v>0</v>
          </cell>
          <cell r="IZ16">
            <v>0</v>
          </cell>
          <cell r="JH16">
            <v>301031.48</v>
          </cell>
          <cell r="JJ16">
            <v>428953.95000000007</v>
          </cell>
          <cell r="JP16">
            <v>2000000</v>
          </cell>
          <cell r="JV16">
            <v>0</v>
          </cell>
          <cell r="JX16">
            <v>0</v>
          </cell>
          <cell r="KF16">
            <v>17000000</v>
          </cell>
          <cell r="KJ16">
            <v>0</v>
          </cell>
          <cell r="KR16">
            <v>119911.26999999999</v>
          </cell>
          <cell r="KV16">
            <v>2278314.23</v>
          </cell>
          <cell r="KZ16">
            <v>34720</v>
          </cell>
          <cell r="LD16">
            <v>659680</v>
          </cell>
          <cell r="MN16">
            <v>7723757.8899999997</v>
          </cell>
          <cell r="MP16">
            <v>146751400</v>
          </cell>
        </row>
        <row r="17">
          <cell r="N17">
            <v>0</v>
          </cell>
          <cell r="X17">
            <v>2425400</v>
          </cell>
          <cell r="Z17">
            <v>319298.27</v>
          </cell>
          <cell r="AF17">
            <v>0</v>
          </cell>
          <cell r="AZ17">
            <v>0</v>
          </cell>
          <cell r="BB17">
            <v>2006604.49</v>
          </cell>
          <cell r="BD17">
            <v>89520.22</v>
          </cell>
          <cell r="BF17">
            <v>472263.2</v>
          </cell>
          <cell r="BH17">
            <v>0</v>
          </cell>
          <cell r="BL17">
            <v>0</v>
          </cell>
          <cell r="BP17">
            <v>0</v>
          </cell>
          <cell r="BX17">
            <v>0</v>
          </cell>
          <cell r="CB17">
            <v>0</v>
          </cell>
          <cell r="CR17">
            <v>210202.89</v>
          </cell>
          <cell r="CT17">
            <v>496815.66000000003</v>
          </cell>
          <cell r="CV17">
            <v>210202.89</v>
          </cell>
          <cell r="CX17">
            <v>540521.66</v>
          </cell>
          <cell r="CZ17">
            <v>1277525.7899999998</v>
          </cell>
          <cell r="DB17">
            <v>540521.66</v>
          </cell>
          <cell r="DJ17">
            <v>0</v>
          </cell>
          <cell r="EB17">
            <v>0</v>
          </cell>
          <cell r="ED17">
            <v>18035.73</v>
          </cell>
          <cell r="EF17">
            <v>0</v>
          </cell>
          <cell r="EJ17">
            <v>427567.03</v>
          </cell>
          <cell r="EZ17">
            <v>0</v>
          </cell>
          <cell r="FF17">
            <v>0</v>
          </cell>
          <cell r="FL17">
            <v>0</v>
          </cell>
          <cell r="FN17">
            <v>0</v>
          </cell>
          <cell r="FP17">
            <v>0</v>
          </cell>
          <cell r="FR17">
            <v>0</v>
          </cell>
          <cell r="FT17">
            <v>0</v>
          </cell>
          <cell r="FV17">
            <v>0</v>
          </cell>
          <cell r="FX17">
            <v>0</v>
          </cell>
          <cell r="FZ17">
            <v>157924.10999999999</v>
          </cell>
          <cell r="GD17">
            <v>158118.89000000001</v>
          </cell>
          <cell r="GH17">
            <v>144265.26999999999</v>
          </cell>
          <cell r="GJ17">
            <v>0</v>
          </cell>
          <cell r="GP17">
            <v>5894189.4300000006</v>
          </cell>
          <cell r="GR17">
            <v>5393999.9999999981</v>
          </cell>
          <cell r="GT17">
            <v>5394000</v>
          </cell>
          <cell r="GZ17">
            <v>650320.28</v>
          </cell>
          <cell r="HB17">
            <v>0</v>
          </cell>
          <cell r="HH17">
            <v>31359172.839999996</v>
          </cell>
          <cell r="HJ17">
            <v>5683135.2299999995</v>
          </cell>
          <cell r="IH17">
            <v>0</v>
          </cell>
          <cell r="IZ17">
            <v>0</v>
          </cell>
          <cell r="JH17">
            <v>47793.61</v>
          </cell>
          <cell r="JJ17">
            <v>443836.14</v>
          </cell>
          <cell r="JL17">
            <v>65510.239999999998</v>
          </cell>
          <cell r="JP17">
            <v>2200000</v>
          </cell>
          <cell r="JR17">
            <v>2200000</v>
          </cell>
          <cell r="JV17">
            <v>870000</v>
          </cell>
          <cell r="JX17">
            <v>870000</v>
          </cell>
          <cell r="KB17">
            <v>16530000</v>
          </cell>
          <cell r="KD17">
            <v>16530000</v>
          </cell>
          <cell r="KF17">
            <v>1500000</v>
          </cell>
          <cell r="KH17">
            <v>1500000</v>
          </cell>
          <cell r="KJ17">
            <v>0</v>
          </cell>
          <cell r="KR17">
            <v>54804.6</v>
          </cell>
          <cell r="KV17">
            <v>1041287.3599999999</v>
          </cell>
          <cell r="KZ17">
            <v>0</v>
          </cell>
          <cell r="LD17">
            <v>0</v>
          </cell>
        </row>
        <row r="18">
          <cell r="N18">
            <v>0</v>
          </cell>
          <cell r="X18">
            <v>0</v>
          </cell>
          <cell r="Z18">
            <v>402315.81</v>
          </cell>
          <cell r="AF18">
            <v>0</v>
          </cell>
          <cell r="AZ18">
            <v>0</v>
          </cell>
          <cell r="BB18">
            <v>5516691.2400000002</v>
          </cell>
          <cell r="BD18">
            <v>85528.87</v>
          </cell>
          <cell r="BF18">
            <v>0</v>
          </cell>
          <cell r="BH18">
            <v>0</v>
          </cell>
          <cell r="BL18">
            <v>0</v>
          </cell>
          <cell r="BP18">
            <v>0</v>
          </cell>
          <cell r="BT18">
            <v>2349775.98</v>
          </cell>
          <cell r="BV18">
            <v>44645700</v>
          </cell>
          <cell r="BX18">
            <v>0</v>
          </cell>
          <cell r="CB18">
            <v>0</v>
          </cell>
          <cell r="CR18">
            <v>0</v>
          </cell>
          <cell r="CT18">
            <v>112543.54999999999</v>
          </cell>
          <cell r="CZ18">
            <v>289397.69</v>
          </cell>
          <cell r="DJ18">
            <v>0</v>
          </cell>
          <cell r="EB18">
            <v>3000000</v>
          </cell>
          <cell r="ED18">
            <v>16232.16</v>
          </cell>
          <cell r="EF18">
            <v>0</v>
          </cell>
          <cell r="EJ18">
            <v>599340.62</v>
          </cell>
          <cell r="EZ18">
            <v>0</v>
          </cell>
          <cell r="FF18">
            <v>0</v>
          </cell>
          <cell r="FL18">
            <v>0</v>
          </cell>
          <cell r="FN18">
            <v>0</v>
          </cell>
          <cell r="FP18">
            <v>0</v>
          </cell>
          <cell r="FR18">
            <v>0</v>
          </cell>
          <cell r="FT18">
            <v>0</v>
          </cell>
          <cell r="FV18">
            <v>0</v>
          </cell>
          <cell r="FX18">
            <v>0</v>
          </cell>
          <cell r="FZ18">
            <v>133382.25</v>
          </cell>
          <cell r="GD18">
            <v>133546.75</v>
          </cell>
          <cell r="GH18">
            <v>0</v>
          </cell>
          <cell r="GJ18">
            <v>0</v>
          </cell>
          <cell r="GP18">
            <v>1380000</v>
          </cell>
          <cell r="GR18">
            <v>950000</v>
          </cell>
          <cell r="GZ18">
            <v>1955850.48</v>
          </cell>
          <cell r="HB18">
            <v>0</v>
          </cell>
          <cell r="HH18">
            <v>19096795.399999999</v>
          </cell>
          <cell r="HJ18">
            <v>0</v>
          </cell>
          <cell r="IH18">
            <v>0</v>
          </cell>
          <cell r="IZ18">
            <v>0</v>
          </cell>
          <cell r="JH18">
            <v>158262.43</v>
          </cell>
          <cell r="JJ18">
            <v>558058.48</v>
          </cell>
          <cell r="JP18">
            <v>1300000</v>
          </cell>
          <cell r="JV18">
            <v>0</v>
          </cell>
          <cell r="JX18">
            <v>0</v>
          </cell>
          <cell r="KF18">
            <v>5000000</v>
          </cell>
          <cell r="KJ18">
            <v>0</v>
          </cell>
          <cell r="KR18">
            <v>61802</v>
          </cell>
          <cell r="KV18">
            <v>1174237.92</v>
          </cell>
          <cell r="KZ18">
            <v>0</v>
          </cell>
          <cell r="LD18">
            <v>0</v>
          </cell>
        </row>
        <row r="19">
          <cell r="N19">
            <v>0</v>
          </cell>
          <cell r="Z19">
            <v>77303.789999999994</v>
          </cell>
          <cell r="AF19">
            <v>0</v>
          </cell>
          <cell r="AZ19">
            <v>0</v>
          </cell>
          <cell r="BB19">
            <v>3917818.62</v>
          </cell>
          <cell r="BD19">
            <v>46935.85</v>
          </cell>
          <cell r="BF19">
            <v>0</v>
          </cell>
          <cell r="BH19">
            <v>0</v>
          </cell>
          <cell r="BL19">
            <v>0</v>
          </cell>
          <cell r="BP19">
            <v>0</v>
          </cell>
          <cell r="BX19">
            <v>0</v>
          </cell>
          <cell r="CB19">
            <v>0</v>
          </cell>
          <cell r="CR19">
            <v>55316.550000000017</v>
          </cell>
          <cell r="CT19">
            <v>105745.09999999992</v>
          </cell>
          <cell r="CX19">
            <v>142242.54999999999</v>
          </cell>
          <cell r="CZ19">
            <v>271915.91000000003</v>
          </cell>
          <cell r="DJ19">
            <v>0</v>
          </cell>
          <cell r="DT19">
            <v>269612.63</v>
          </cell>
          <cell r="DV19">
            <v>5000387.37</v>
          </cell>
          <cell r="DX19">
            <v>6762571.2000000002</v>
          </cell>
          <cell r="DZ19">
            <v>17389468.800000001</v>
          </cell>
          <cell r="EB19">
            <v>0</v>
          </cell>
          <cell r="ED19">
            <v>5410.72</v>
          </cell>
          <cell r="EF19">
            <v>3129.2199999999993</v>
          </cell>
          <cell r="EJ19">
            <v>472622.89</v>
          </cell>
          <cell r="EZ19">
            <v>0</v>
          </cell>
          <cell r="FF19">
            <v>0</v>
          </cell>
          <cell r="FL19">
            <v>0</v>
          </cell>
          <cell r="FN19">
            <v>0</v>
          </cell>
          <cell r="FP19">
            <v>0</v>
          </cell>
          <cell r="FR19">
            <v>0</v>
          </cell>
          <cell r="FT19">
            <v>0</v>
          </cell>
          <cell r="FV19">
            <v>0</v>
          </cell>
          <cell r="FX19">
            <v>71368.62</v>
          </cell>
          <cell r="FZ19">
            <v>202297.75</v>
          </cell>
          <cell r="GD19">
            <v>202547.25</v>
          </cell>
          <cell r="GH19">
            <v>113000</v>
          </cell>
          <cell r="GJ19">
            <v>0</v>
          </cell>
          <cell r="GP19">
            <v>2622767.62</v>
          </cell>
          <cell r="GR19">
            <v>3376064.45</v>
          </cell>
          <cell r="GZ19">
            <v>235852.56</v>
          </cell>
          <cell r="HB19">
            <v>0</v>
          </cell>
          <cell r="HH19">
            <v>24118092.600000001</v>
          </cell>
          <cell r="HJ19">
            <v>0</v>
          </cell>
          <cell r="IH19">
            <v>0</v>
          </cell>
          <cell r="IZ19">
            <v>0</v>
          </cell>
          <cell r="JH19">
            <v>248613.03</v>
          </cell>
          <cell r="JJ19">
            <v>228725.22999999998</v>
          </cell>
          <cell r="JP19">
            <v>1300000</v>
          </cell>
          <cell r="JV19">
            <v>0</v>
          </cell>
          <cell r="JX19">
            <v>0</v>
          </cell>
          <cell r="KF19">
            <v>0</v>
          </cell>
          <cell r="KJ19">
            <v>0</v>
          </cell>
          <cell r="KR19">
            <v>37995.22</v>
          </cell>
          <cell r="KV19">
            <v>721909.19</v>
          </cell>
          <cell r="KZ19">
            <v>0</v>
          </cell>
          <cell r="LD19">
            <v>0</v>
          </cell>
        </row>
        <row r="20">
          <cell r="N20">
            <v>0</v>
          </cell>
          <cell r="X20">
            <v>0</v>
          </cell>
          <cell r="Z20">
            <v>198721.16</v>
          </cell>
          <cell r="AF20">
            <v>0</v>
          </cell>
          <cell r="AZ20">
            <v>0</v>
          </cell>
          <cell r="BB20">
            <v>3607374.08</v>
          </cell>
          <cell r="BD20">
            <v>90846.67</v>
          </cell>
          <cell r="BF20">
            <v>0</v>
          </cell>
          <cell r="BH20">
            <v>0</v>
          </cell>
          <cell r="BL20">
            <v>0</v>
          </cell>
          <cell r="BP20">
            <v>0</v>
          </cell>
          <cell r="BX20">
            <v>0</v>
          </cell>
          <cell r="CB20">
            <v>0</v>
          </cell>
          <cell r="CR20">
            <v>101940.5</v>
          </cell>
          <cell r="CT20">
            <v>614029.43999999994</v>
          </cell>
          <cell r="CV20">
            <v>309772.65999999997</v>
          </cell>
          <cell r="CX20">
            <v>262132.7</v>
          </cell>
          <cell r="CZ20">
            <v>1578932.68</v>
          </cell>
          <cell r="DB20">
            <v>796558.25</v>
          </cell>
          <cell r="DJ20">
            <v>0</v>
          </cell>
          <cell r="EB20">
            <v>0</v>
          </cell>
          <cell r="ED20">
            <v>35707.11</v>
          </cell>
          <cell r="EF20">
            <v>25301.409999999996</v>
          </cell>
          <cell r="EH20">
            <v>20000</v>
          </cell>
          <cell r="EJ20">
            <v>1198681.24</v>
          </cell>
          <cell r="EZ20">
            <v>0</v>
          </cell>
          <cell r="FF20">
            <v>0</v>
          </cell>
          <cell r="FL20">
            <v>0</v>
          </cell>
          <cell r="FN20">
            <v>83669524.5</v>
          </cell>
          <cell r="FP20">
            <v>83669524.5</v>
          </cell>
          <cell r="FR20">
            <v>0</v>
          </cell>
          <cell r="FT20">
            <v>8213758.8499999996</v>
          </cell>
          <cell r="FV20">
            <v>8213758.8499999996</v>
          </cell>
          <cell r="FX20">
            <v>111431.97</v>
          </cell>
          <cell r="FZ20">
            <v>201997.43</v>
          </cell>
          <cell r="GD20">
            <v>202246.57</v>
          </cell>
          <cell r="GH20">
            <v>0</v>
          </cell>
          <cell r="GJ20">
            <v>0</v>
          </cell>
          <cell r="GP20">
            <v>0</v>
          </cell>
          <cell r="GR20">
            <v>14800000</v>
          </cell>
          <cell r="GT20">
            <v>14800000</v>
          </cell>
          <cell r="GZ20">
            <v>316962.83</v>
          </cell>
          <cell r="HB20">
            <v>0</v>
          </cell>
          <cell r="HH20">
            <v>19381845.420000002</v>
          </cell>
          <cell r="HJ20">
            <v>14784861.859999999</v>
          </cell>
          <cell r="IH20">
            <v>0</v>
          </cell>
          <cell r="IZ20">
            <v>0</v>
          </cell>
          <cell r="JH20">
            <v>414689.98000000004</v>
          </cell>
          <cell r="JJ20">
            <v>422274.26999999996</v>
          </cell>
          <cell r="JL20">
            <v>8911.89</v>
          </cell>
          <cell r="JP20">
            <v>2500000</v>
          </cell>
          <cell r="JV20">
            <v>870000</v>
          </cell>
          <cell r="JX20">
            <v>870000</v>
          </cell>
          <cell r="KB20">
            <v>16530000</v>
          </cell>
          <cell r="KD20">
            <v>16530000</v>
          </cell>
          <cell r="KF20">
            <v>0</v>
          </cell>
          <cell r="KJ20">
            <v>0</v>
          </cell>
          <cell r="KR20">
            <v>79534.73</v>
          </cell>
          <cell r="KV20">
            <v>1511159.8399999999</v>
          </cell>
          <cell r="KZ20">
            <v>0</v>
          </cell>
          <cell r="LD20">
            <v>0</v>
          </cell>
          <cell r="MN20">
            <v>7349373.6799999997</v>
          </cell>
          <cell r="MP20">
            <v>139638100</v>
          </cell>
          <cell r="MR20">
            <v>530079.47</v>
          </cell>
          <cell r="MT20">
            <v>78400</v>
          </cell>
          <cell r="MX20">
            <v>10071510</v>
          </cell>
          <cell r="MZ20">
            <v>1489600</v>
          </cell>
        </row>
        <row r="21">
          <cell r="N21">
            <v>0</v>
          </cell>
          <cell r="X21">
            <v>0</v>
          </cell>
          <cell r="Z21">
            <v>197460.77</v>
          </cell>
          <cell r="AF21">
            <v>0</v>
          </cell>
          <cell r="AZ21">
            <v>0</v>
          </cell>
          <cell r="BB21">
            <v>0</v>
          </cell>
          <cell r="BD21">
            <v>43442.67</v>
          </cell>
          <cell r="BF21">
            <v>286094.40000000002</v>
          </cell>
          <cell r="BH21">
            <v>0</v>
          </cell>
          <cell r="BL21">
            <v>0</v>
          </cell>
          <cell r="BP21">
            <v>0</v>
          </cell>
          <cell r="BX21">
            <v>0</v>
          </cell>
          <cell r="CB21">
            <v>0</v>
          </cell>
          <cell r="CR21">
            <v>34665</v>
          </cell>
          <cell r="CT21">
            <v>100046.78999999998</v>
          </cell>
          <cell r="CX21">
            <v>89138.57</v>
          </cell>
          <cell r="CZ21">
            <v>257263.07</v>
          </cell>
          <cell r="DJ21">
            <v>0</v>
          </cell>
          <cell r="EB21">
            <v>3000000</v>
          </cell>
          <cell r="ED21">
            <v>19839.310000000001</v>
          </cell>
          <cell r="EF21">
            <v>7276.5200000000013</v>
          </cell>
          <cell r="EJ21">
            <v>491716.17</v>
          </cell>
          <cell r="EL21">
            <v>4121278.3</v>
          </cell>
          <cell r="EN21">
            <v>44180000</v>
          </cell>
          <cell r="EP21">
            <v>504900</v>
          </cell>
          <cell r="EZ21">
            <v>0</v>
          </cell>
          <cell r="FF21">
            <v>0</v>
          </cell>
          <cell r="FL21">
            <v>0</v>
          </cell>
          <cell r="FN21">
            <v>0</v>
          </cell>
          <cell r="FP21">
            <v>0</v>
          </cell>
          <cell r="FR21">
            <v>0</v>
          </cell>
          <cell r="FT21">
            <v>0</v>
          </cell>
          <cell r="FV21">
            <v>0</v>
          </cell>
          <cell r="FX21">
            <v>80527.289999999994</v>
          </cell>
          <cell r="FZ21">
            <v>0</v>
          </cell>
          <cell r="GH21">
            <v>128583.27</v>
          </cell>
          <cell r="GJ21">
            <v>0</v>
          </cell>
          <cell r="GP21">
            <v>4834441.3899999997</v>
          </cell>
          <cell r="GR21">
            <v>4003167.17</v>
          </cell>
          <cell r="GZ21">
            <v>1121737.77</v>
          </cell>
          <cell r="HB21">
            <v>0</v>
          </cell>
          <cell r="HH21">
            <v>13661028.34</v>
          </cell>
          <cell r="HJ21">
            <v>0</v>
          </cell>
          <cell r="IH21">
            <v>0</v>
          </cell>
          <cell r="IZ21">
            <v>0</v>
          </cell>
          <cell r="JH21">
            <v>203349.24</v>
          </cell>
          <cell r="JJ21">
            <v>445270.31</v>
          </cell>
          <cell r="JP21">
            <v>1300000</v>
          </cell>
          <cell r="JV21">
            <v>0</v>
          </cell>
          <cell r="JX21">
            <v>0</v>
          </cell>
          <cell r="KF21">
            <v>0</v>
          </cell>
          <cell r="KJ21">
            <v>0</v>
          </cell>
          <cell r="KR21">
            <v>26520.14</v>
          </cell>
          <cell r="KV21">
            <v>503882.63</v>
          </cell>
          <cell r="KZ21">
            <v>34300</v>
          </cell>
          <cell r="LD21">
            <v>651700</v>
          </cell>
        </row>
        <row r="22">
          <cell r="N22">
            <v>0</v>
          </cell>
          <cell r="X22">
            <v>420000</v>
          </cell>
          <cell r="Z22">
            <v>189058.18</v>
          </cell>
          <cell r="AF22">
            <v>0</v>
          </cell>
          <cell r="AZ22">
            <v>0</v>
          </cell>
          <cell r="BB22">
            <v>6863925.3099999996</v>
          </cell>
          <cell r="BD22">
            <v>100473.92</v>
          </cell>
          <cell r="BF22">
            <v>1188910.1299999999</v>
          </cell>
          <cell r="BH22">
            <v>0</v>
          </cell>
          <cell r="BL22">
            <v>0</v>
          </cell>
          <cell r="BP22">
            <v>0</v>
          </cell>
          <cell r="BX22">
            <v>0</v>
          </cell>
          <cell r="CB22">
            <v>0</v>
          </cell>
          <cell r="CR22">
            <v>0</v>
          </cell>
          <cell r="CT22">
            <v>460760.92</v>
          </cell>
          <cell r="CZ22">
            <v>1184813.6599999999</v>
          </cell>
          <cell r="DJ22">
            <v>0</v>
          </cell>
          <cell r="DT22">
            <v>270124.21999999997</v>
          </cell>
          <cell r="DV22">
            <v>5009875.78</v>
          </cell>
          <cell r="DX22">
            <v>9309538.6199999992</v>
          </cell>
          <cell r="DZ22">
            <v>23938813.579999998</v>
          </cell>
          <cell r="EB22">
            <v>0</v>
          </cell>
          <cell r="ED22">
            <v>22500</v>
          </cell>
          <cell r="EF22">
            <v>0</v>
          </cell>
          <cell r="EJ22">
            <v>0</v>
          </cell>
          <cell r="EZ22">
            <v>0</v>
          </cell>
          <cell r="FF22">
            <v>0</v>
          </cell>
          <cell r="FL22">
            <v>0</v>
          </cell>
          <cell r="FN22">
            <v>0</v>
          </cell>
          <cell r="FP22">
            <v>0</v>
          </cell>
          <cell r="FR22">
            <v>0</v>
          </cell>
          <cell r="FT22">
            <v>0</v>
          </cell>
          <cell r="FV22">
            <v>0</v>
          </cell>
          <cell r="FX22">
            <v>124852.8</v>
          </cell>
          <cell r="FZ22">
            <v>39521.629999999997</v>
          </cell>
          <cell r="GD22">
            <v>39570.370000000003</v>
          </cell>
          <cell r="GH22">
            <v>0</v>
          </cell>
          <cell r="GJ22">
            <v>0</v>
          </cell>
          <cell r="GP22">
            <v>4777002.5</v>
          </cell>
          <cell r="GR22">
            <v>2033693.4</v>
          </cell>
          <cell r="GZ22">
            <v>456864.88</v>
          </cell>
          <cell r="HB22">
            <v>0</v>
          </cell>
          <cell r="HH22">
            <v>67423706.530000001</v>
          </cell>
          <cell r="HJ22">
            <v>0</v>
          </cell>
          <cell r="IH22">
            <v>0</v>
          </cell>
          <cell r="IZ22">
            <v>0</v>
          </cell>
          <cell r="JH22">
            <v>146442.04999999999</v>
          </cell>
          <cell r="JJ22">
            <v>473019.99</v>
          </cell>
          <cell r="JP22">
            <v>3500000</v>
          </cell>
          <cell r="JV22">
            <v>0</v>
          </cell>
          <cell r="JX22">
            <v>0</v>
          </cell>
          <cell r="KF22">
            <v>3000000</v>
          </cell>
          <cell r="KJ22">
            <v>0</v>
          </cell>
          <cell r="KR22">
            <v>74077.040000000008</v>
          </cell>
          <cell r="KV22">
            <v>1407463.79</v>
          </cell>
          <cell r="KZ22">
            <v>0</v>
          </cell>
          <cell r="LD22">
            <v>0</v>
          </cell>
        </row>
        <row r="23">
          <cell r="N23">
            <v>0</v>
          </cell>
          <cell r="X23">
            <v>0</v>
          </cell>
          <cell r="Z23">
            <v>163346.26999999999</v>
          </cell>
          <cell r="AF23">
            <v>0</v>
          </cell>
          <cell r="AZ23">
            <v>0</v>
          </cell>
          <cell r="BB23">
            <v>4703705.16</v>
          </cell>
          <cell r="BD23">
            <v>79946.990000000005</v>
          </cell>
          <cell r="BF23">
            <v>0</v>
          </cell>
          <cell r="BH23">
            <v>0</v>
          </cell>
          <cell r="BL23">
            <v>0</v>
          </cell>
          <cell r="BP23">
            <v>0</v>
          </cell>
          <cell r="BX23">
            <v>0</v>
          </cell>
          <cell r="CB23">
            <v>0</v>
          </cell>
          <cell r="CR23">
            <v>99569.790000000008</v>
          </cell>
          <cell r="CT23">
            <v>250383.78999999992</v>
          </cell>
          <cell r="CX23">
            <v>256036.58</v>
          </cell>
          <cell r="CZ23">
            <v>643843.99</v>
          </cell>
          <cell r="DJ23">
            <v>0</v>
          </cell>
          <cell r="EB23">
            <v>0</v>
          </cell>
          <cell r="ED23">
            <v>10821.44</v>
          </cell>
          <cell r="EF23">
            <v>0</v>
          </cell>
          <cell r="EJ23">
            <v>173341.29</v>
          </cell>
          <cell r="EZ23">
            <v>0</v>
          </cell>
          <cell r="FF23">
            <v>18325925</v>
          </cell>
          <cell r="FL23">
            <v>0</v>
          </cell>
          <cell r="FN23">
            <v>0</v>
          </cell>
          <cell r="FP23">
            <v>0</v>
          </cell>
          <cell r="FR23">
            <v>0</v>
          </cell>
          <cell r="FT23">
            <v>0</v>
          </cell>
          <cell r="FV23">
            <v>0</v>
          </cell>
          <cell r="FX23">
            <v>75795.89</v>
          </cell>
          <cell r="FZ23">
            <v>0</v>
          </cell>
          <cell r="GH23">
            <v>0</v>
          </cell>
          <cell r="GJ23">
            <v>0</v>
          </cell>
          <cell r="GP23">
            <v>1429832.46</v>
          </cell>
          <cell r="GR23">
            <v>0</v>
          </cell>
          <cell r="GZ23">
            <v>287855.17</v>
          </cell>
          <cell r="HB23">
            <v>43533286</v>
          </cell>
          <cell r="HH23">
            <v>18894173.899999999</v>
          </cell>
          <cell r="HJ23">
            <v>0</v>
          </cell>
          <cell r="IH23">
            <v>0</v>
          </cell>
          <cell r="IZ23">
            <v>0</v>
          </cell>
          <cell r="JH23">
            <v>361578.44</v>
          </cell>
          <cell r="JJ23">
            <v>520509.41</v>
          </cell>
          <cell r="JP23">
            <v>1350000</v>
          </cell>
          <cell r="JV23">
            <v>0</v>
          </cell>
          <cell r="JX23">
            <v>0</v>
          </cell>
          <cell r="KF23">
            <v>6000000</v>
          </cell>
          <cell r="KJ23">
            <v>0</v>
          </cell>
          <cell r="KR23">
            <v>75936.320000000007</v>
          </cell>
          <cell r="KV23">
            <v>1442790</v>
          </cell>
          <cell r="KZ23">
            <v>0</v>
          </cell>
          <cell r="LD23">
            <v>0</v>
          </cell>
        </row>
        <row r="24">
          <cell r="N24">
            <v>2401200</v>
          </cell>
          <cell r="X24">
            <v>1242000</v>
          </cell>
          <cell r="Z24">
            <v>115955.69</v>
          </cell>
          <cell r="AF24">
            <v>0</v>
          </cell>
          <cell r="AZ24">
            <v>0</v>
          </cell>
          <cell r="BB24">
            <v>2137170.06</v>
          </cell>
          <cell r="BD24">
            <v>55218.64</v>
          </cell>
          <cell r="BF24">
            <v>439420.11</v>
          </cell>
          <cell r="BH24">
            <v>0</v>
          </cell>
          <cell r="BL24">
            <v>0</v>
          </cell>
          <cell r="BP24">
            <v>0</v>
          </cell>
          <cell r="BX24">
            <v>0</v>
          </cell>
          <cell r="CB24">
            <v>0</v>
          </cell>
          <cell r="CR24">
            <v>96947.78</v>
          </cell>
          <cell r="CT24">
            <v>39617.709999999992</v>
          </cell>
          <cell r="CX24">
            <v>249294.28</v>
          </cell>
          <cell r="CZ24">
            <v>101874.11000000002</v>
          </cell>
          <cell r="DJ24">
            <v>0</v>
          </cell>
          <cell r="DT24">
            <v>269612.63</v>
          </cell>
          <cell r="DV24">
            <v>5000387.37</v>
          </cell>
          <cell r="EB24">
            <v>0</v>
          </cell>
          <cell r="ED24">
            <v>12500</v>
          </cell>
          <cell r="EF24">
            <v>0</v>
          </cell>
          <cell r="EJ24">
            <v>433237.65</v>
          </cell>
          <cell r="EZ24">
            <v>0</v>
          </cell>
          <cell r="FF24">
            <v>0</v>
          </cell>
          <cell r="FL24">
            <v>0</v>
          </cell>
          <cell r="FN24">
            <v>0</v>
          </cell>
          <cell r="FP24">
            <v>0</v>
          </cell>
          <cell r="FR24">
            <v>0</v>
          </cell>
          <cell r="FT24">
            <v>0</v>
          </cell>
          <cell r="FV24">
            <v>0</v>
          </cell>
          <cell r="FX24">
            <v>86905.73</v>
          </cell>
          <cell r="FZ24">
            <v>0</v>
          </cell>
          <cell r="GH24">
            <v>125008.27</v>
          </cell>
          <cell r="GJ24">
            <v>0</v>
          </cell>
          <cell r="GP24">
            <v>4995600</v>
          </cell>
          <cell r="GR24">
            <v>0</v>
          </cell>
          <cell r="GZ24">
            <v>977925.24</v>
          </cell>
          <cell r="HB24">
            <v>0</v>
          </cell>
          <cell r="HH24">
            <v>28540304.469999999</v>
          </cell>
          <cell r="HJ24">
            <v>0</v>
          </cell>
          <cell r="IH24">
            <v>0</v>
          </cell>
          <cell r="IZ24">
            <v>0</v>
          </cell>
          <cell r="JH24">
            <v>282749.71000000002</v>
          </cell>
          <cell r="JJ24">
            <v>343226.85000000009</v>
          </cell>
          <cell r="JP24">
            <v>1000000</v>
          </cell>
          <cell r="JV24">
            <v>0</v>
          </cell>
          <cell r="JX24">
            <v>0</v>
          </cell>
          <cell r="KF24">
            <v>11011152.300000001</v>
          </cell>
          <cell r="KJ24">
            <v>0</v>
          </cell>
          <cell r="KR24">
            <v>28202.38</v>
          </cell>
          <cell r="KV24">
            <v>535845.22000000009</v>
          </cell>
          <cell r="KZ24">
            <v>0</v>
          </cell>
          <cell r="LD24">
            <v>0</v>
          </cell>
        </row>
        <row r="25">
          <cell r="N25">
            <v>1408444.44</v>
          </cell>
          <cell r="X25">
            <v>1500000</v>
          </cell>
          <cell r="Z25">
            <v>239473.7</v>
          </cell>
          <cell r="AF25">
            <v>0</v>
          </cell>
          <cell r="AZ25">
            <v>0</v>
          </cell>
          <cell r="BB25">
            <v>4045573.58</v>
          </cell>
          <cell r="BD25">
            <v>96932.72</v>
          </cell>
          <cell r="BF25">
            <v>237465.47</v>
          </cell>
          <cell r="BH25">
            <v>0</v>
          </cell>
          <cell r="BL25">
            <v>141353</v>
          </cell>
          <cell r="BN25">
            <v>2685700</v>
          </cell>
          <cell r="BP25">
            <v>0</v>
          </cell>
          <cell r="BX25">
            <v>0</v>
          </cell>
          <cell r="CB25">
            <v>0</v>
          </cell>
          <cell r="CR25">
            <v>630608.66</v>
          </cell>
          <cell r="CT25">
            <v>361217.08</v>
          </cell>
          <cell r="CV25">
            <v>157652.17000000001</v>
          </cell>
          <cell r="CX25">
            <v>1621564.98</v>
          </cell>
          <cell r="CZ25">
            <v>928843.82000000007</v>
          </cell>
          <cell r="DB25">
            <v>405391.24</v>
          </cell>
          <cell r="DJ25">
            <v>0</v>
          </cell>
          <cell r="EB25">
            <v>0</v>
          </cell>
          <cell r="ED25">
            <v>30660.75</v>
          </cell>
          <cell r="EF25">
            <v>0</v>
          </cell>
          <cell r="EJ25">
            <v>1609657.67</v>
          </cell>
          <cell r="EZ25">
            <v>0</v>
          </cell>
          <cell r="FF25">
            <v>0</v>
          </cell>
          <cell r="FL25">
            <v>0</v>
          </cell>
          <cell r="FN25">
            <v>9593742.9600000009</v>
          </cell>
          <cell r="FP25">
            <v>9593742.9600000009</v>
          </cell>
          <cell r="FR25">
            <v>0</v>
          </cell>
          <cell r="FT25">
            <v>403947.07</v>
          </cell>
          <cell r="FV25">
            <v>403947.07</v>
          </cell>
          <cell r="FX25">
            <v>110296.8</v>
          </cell>
          <cell r="FZ25">
            <v>0</v>
          </cell>
          <cell r="GH25">
            <v>0</v>
          </cell>
          <cell r="GJ25">
            <v>98358.27</v>
          </cell>
          <cell r="GL25">
            <v>98358.27</v>
          </cell>
          <cell r="GP25">
            <v>0</v>
          </cell>
          <cell r="GR25">
            <v>750500</v>
          </cell>
          <cell r="GT25">
            <v>750500</v>
          </cell>
          <cell r="GZ25">
            <v>609765.15</v>
          </cell>
          <cell r="HB25">
            <v>0</v>
          </cell>
          <cell r="HH25">
            <v>21080769.829999998</v>
          </cell>
          <cell r="HJ25">
            <v>19983160.960000001</v>
          </cell>
          <cell r="IH25">
            <v>0</v>
          </cell>
          <cell r="IZ25">
            <v>0</v>
          </cell>
          <cell r="JH25">
            <v>212340.19</v>
          </cell>
          <cell r="JJ25">
            <v>727556.85000000009</v>
          </cell>
          <cell r="JL25">
            <v>150309.54</v>
          </cell>
          <cell r="JP25">
            <v>3300000</v>
          </cell>
          <cell r="JV25">
            <v>870000</v>
          </cell>
          <cell r="JX25">
            <v>870000</v>
          </cell>
          <cell r="KB25">
            <v>16530000</v>
          </cell>
          <cell r="KD25">
            <v>16530000</v>
          </cell>
          <cell r="KF25">
            <v>4491156.6400000006</v>
          </cell>
          <cell r="KJ25">
            <v>0</v>
          </cell>
          <cell r="KR25">
            <v>47002.5</v>
          </cell>
          <cell r="KV25">
            <v>893047.64</v>
          </cell>
          <cell r="KZ25">
            <v>0</v>
          </cell>
          <cell r="LD25">
            <v>0</v>
          </cell>
        </row>
        <row r="26">
          <cell r="N26">
            <v>0</v>
          </cell>
          <cell r="X26">
            <v>1274000</v>
          </cell>
          <cell r="Z26">
            <v>324970.01</v>
          </cell>
          <cell r="AF26">
            <v>0</v>
          </cell>
          <cell r="AZ26">
            <v>0</v>
          </cell>
          <cell r="BB26">
            <v>1937616.82</v>
          </cell>
          <cell r="BD26">
            <v>25124.48</v>
          </cell>
          <cell r="BF26">
            <v>1228321.3899999999</v>
          </cell>
          <cell r="BH26">
            <v>0</v>
          </cell>
          <cell r="BL26">
            <v>0</v>
          </cell>
          <cell r="BP26">
            <v>0</v>
          </cell>
          <cell r="BX26">
            <v>0</v>
          </cell>
          <cell r="CB26">
            <v>0</v>
          </cell>
          <cell r="CR26">
            <v>167793.46000000002</v>
          </cell>
          <cell r="CT26">
            <v>0</v>
          </cell>
          <cell r="CX26">
            <v>431468.85</v>
          </cell>
          <cell r="DJ26">
            <v>0</v>
          </cell>
          <cell r="DT26">
            <v>269612.63</v>
          </cell>
          <cell r="DV26">
            <v>5000387.37</v>
          </cell>
          <cell r="DX26">
            <v>2845518.98</v>
          </cell>
          <cell r="DZ26">
            <v>7317048.8200000003</v>
          </cell>
          <cell r="EB26">
            <v>0</v>
          </cell>
          <cell r="ED26">
            <v>18035.73</v>
          </cell>
          <cell r="EF26">
            <v>0</v>
          </cell>
          <cell r="EJ26">
            <v>598056.31999999995</v>
          </cell>
          <cell r="EL26">
            <v>46110793.090000004</v>
          </cell>
          <cell r="EN26">
            <v>220019347.06</v>
          </cell>
          <cell r="EZ26">
            <v>0</v>
          </cell>
          <cell r="FF26">
            <v>0</v>
          </cell>
          <cell r="FL26">
            <v>0</v>
          </cell>
          <cell r="FN26">
            <v>0</v>
          </cell>
          <cell r="FP26">
            <v>0</v>
          </cell>
          <cell r="FR26">
            <v>0</v>
          </cell>
          <cell r="FT26">
            <v>0</v>
          </cell>
          <cell r="FV26">
            <v>0</v>
          </cell>
          <cell r="FX26">
            <v>95371.19</v>
          </cell>
          <cell r="FZ26">
            <v>267939.27</v>
          </cell>
          <cell r="GD26">
            <v>268269.73</v>
          </cell>
          <cell r="GH26">
            <v>121363.27</v>
          </cell>
          <cell r="GJ26">
            <v>0</v>
          </cell>
          <cell r="GP26">
            <v>1365000</v>
          </cell>
          <cell r="GR26">
            <v>0</v>
          </cell>
          <cell r="GZ26">
            <v>442942.61</v>
          </cell>
          <cell r="HB26">
            <v>0</v>
          </cell>
          <cell r="HH26">
            <v>30910058.020000003</v>
          </cell>
          <cell r="HJ26">
            <v>0</v>
          </cell>
          <cell r="IH26">
            <v>0</v>
          </cell>
          <cell r="IZ26">
            <v>0</v>
          </cell>
          <cell r="JH26">
            <v>308887.95</v>
          </cell>
          <cell r="JJ26">
            <v>643262.03000000014</v>
          </cell>
          <cell r="JP26">
            <v>1450000</v>
          </cell>
          <cell r="JV26">
            <v>0</v>
          </cell>
          <cell r="JX26">
            <v>0</v>
          </cell>
          <cell r="KF26">
            <v>3015621.42</v>
          </cell>
          <cell r="KJ26">
            <v>0</v>
          </cell>
          <cell r="KR26">
            <v>24512.71</v>
          </cell>
          <cell r="KV26">
            <v>465741.41</v>
          </cell>
          <cell r="KZ26">
            <v>0</v>
          </cell>
          <cell r="LD26">
            <v>0</v>
          </cell>
          <cell r="MB26">
            <v>2441451.44</v>
          </cell>
          <cell r="MH26">
            <v>6278018</v>
          </cell>
        </row>
        <row r="27">
          <cell r="N27">
            <v>0</v>
          </cell>
          <cell r="X27">
            <v>0</v>
          </cell>
          <cell r="Z27">
            <v>390720.25</v>
          </cell>
          <cell r="AF27">
            <v>0</v>
          </cell>
          <cell r="AZ27">
            <v>0</v>
          </cell>
          <cell r="BB27">
            <v>0</v>
          </cell>
          <cell r="BD27">
            <v>92659.28</v>
          </cell>
          <cell r="BF27">
            <v>0</v>
          </cell>
          <cell r="BH27">
            <v>0</v>
          </cell>
          <cell r="BL27">
            <v>0</v>
          </cell>
          <cell r="BP27">
            <v>0</v>
          </cell>
          <cell r="BX27">
            <v>0</v>
          </cell>
          <cell r="CB27">
            <v>0</v>
          </cell>
          <cell r="CR27">
            <v>336004.80000000005</v>
          </cell>
          <cell r="CT27">
            <v>55344.21000000005</v>
          </cell>
          <cell r="CX27">
            <v>864012.29</v>
          </cell>
          <cell r="CZ27">
            <v>142313.66999999993</v>
          </cell>
          <cell r="DB27">
            <v>0</v>
          </cell>
          <cell r="DJ27">
            <v>0</v>
          </cell>
          <cell r="EB27">
            <v>0</v>
          </cell>
          <cell r="ED27">
            <v>27053.599999999999</v>
          </cell>
          <cell r="EF27">
            <v>0</v>
          </cell>
          <cell r="EJ27">
            <v>1592533.65</v>
          </cell>
          <cell r="EZ27">
            <v>5453747.4400000004</v>
          </cell>
          <cell r="FF27">
            <v>0</v>
          </cell>
          <cell r="FL27">
            <v>0</v>
          </cell>
          <cell r="FN27">
            <v>0</v>
          </cell>
          <cell r="FP27">
            <v>0</v>
          </cell>
          <cell r="FR27">
            <v>0</v>
          </cell>
          <cell r="FT27">
            <v>0</v>
          </cell>
          <cell r="FV27">
            <v>0</v>
          </cell>
          <cell r="FX27">
            <v>89129.82</v>
          </cell>
          <cell r="FZ27">
            <v>0</v>
          </cell>
          <cell r="GH27">
            <v>0</v>
          </cell>
          <cell r="GJ27">
            <v>0</v>
          </cell>
          <cell r="GP27">
            <v>4741197.32</v>
          </cell>
          <cell r="GR27">
            <v>6273659.2200000007</v>
          </cell>
          <cell r="GT27">
            <v>2225000</v>
          </cell>
          <cell r="GZ27">
            <v>322220.03999999998</v>
          </cell>
          <cell r="HB27">
            <v>0</v>
          </cell>
          <cell r="HH27">
            <v>62169711.989999995</v>
          </cell>
          <cell r="HJ27">
            <v>0</v>
          </cell>
          <cell r="IH27">
            <v>0</v>
          </cell>
          <cell r="IZ27">
            <v>0</v>
          </cell>
          <cell r="JH27">
            <v>266067.31</v>
          </cell>
          <cell r="JJ27">
            <v>501410.69999999995</v>
          </cell>
          <cell r="JL27">
            <v>9914.4799999999959</v>
          </cell>
          <cell r="JP27">
            <v>1000000</v>
          </cell>
          <cell r="JV27">
            <v>762709.59</v>
          </cell>
          <cell r="JX27">
            <v>762709.59</v>
          </cell>
          <cell r="KB27">
            <v>14491482.17</v>
          </cell>
          <cell r="KD27">
            <v>14491482.17</v>
          </cell>
          <cell r="KF27">
            <v>3422385.62</v>
          </cell>
          <cell r="KJ27">
            <v>0</v>
          </cell>
          <cell r="KR27">
            <v>41773.42</v>
          </cell>
          <cell r="KV27">
            <v>793694.92</v>
          </cell>
          <cell r="KZ27">
            <v>0</v>
          </cell>
          <cell r="LD27">
            <v>0</v>
          </cell>
          <cell r="MR27">
            <v>1105055.26</v>
          </cell>
          <cell r="MX27">
            <v>20996050</v>
          </cell>
        </row>
        <row r="30">
          <cell r="N30">
            <v>0</v>
          </cell>
          <cell r="X30">
            <v>0</v>
          </cell>
          <cell r="Z30">
            <v>434959.86</v>
          </cell>
          <cell r="AB30">
            <v>0</v>
          </cell>
          <cell r="AV30">
            <v>0</v>
          </cell>
          <cell r="AZ30">
            <v>0</v>
          </cell>
          <cell r="BD30">
            <v>190072.17</v>
          </cell>
          <cell r="BF30">
            <v>874222.88</v>
          </cell>
          <cell r="BL30">
            <v>0</v>
          </cell>
          <cell r="BP30">
            <v>0</v>
          </cell>
          <cell r="DD30">
            <v>1047239</v>
          </cell>
          <cell r="DF30">
            <v>2692900</v>
          </cell>
          <cell r="ED30">
            <v>91053.119999999995</v>
          </cell>
          <cell r="EZ30">
            <v>33105937.48</v>
          </cell>
          <cell r="FL30">
            <v>25132589.16</v>
          </cell>
          <cell r="FR30">
            <v>4471041.51</v>
          </cell>
          <cell r="FX30">
            <v>98546.14</v>
          </cell>
          <cell r="GH30">
            <v>260585.11</v>
          </cell>
          <cell r="GP30">
            <v>31799736.180000003</v>
          </cell>
          <cell r="GV30">
            <v>0</v>
          </cell>
          <cell r="HB30">
            <v>33436844.989999998</v>
          </cell>
          <cell r="HN30">
            <v>150263377.62</v>
          </cell>
          <cell r="HP30">
            <v>36132390</v>
          </cell>
          <cell r="HV30">
            <v>99800000</v>
          </cell>
          <cell r="IH30">
            <v>0</v>
          </cell>
          <cell r="IV30">
            <v>0</v>
          </cell>
          <cell r="JH30">
            <v>691923.61</v>
          </cell>
          <cell r="JN30">
            <v>4500000</v>
          </cell>
          <cell r="JT30">
            <v>2481099.9900000002</v>
          </cell>
          <cell r="JZ30">
            <v>47140900</v>
          </cell>
          <cell r="KF30">
            <v>27553093</v>
          </cell>
        </row>
        <row r="31">
          <cell r="N31">
            <v>2208800</v>
          </cell>
          <cell r="X31">
            <v>2280000</v>
          </cell>
          <cell r="Z31">
            <v>578097.91</v>
          </cell>
          <cell r="AB31">
            <v>5891036.9499999881</v>
          </cell>
          <cell r="AD31">
            <v>137839400</v>
          </cell>
          <cell r="AV31">
            <v>526315.79</v>
          </cell>
          <cell r="AX31">
            <v>25000000</v>
          </cell>
          <cell r="AZ31">
            <v>1794335</v>
          </cell>
          <cell r="BD31">
            <v>986252.96</v>
          </cell>
          <cell r="BF31">
            <v>6349076.8099999996</v>
          </cell>
          <cell r="BL31">
            <v>0</v>
          </cell>
          <cell r="BP31">
            <v>5696106.1599999946</v>
          </cell>
          <cell r="BR31">
            <v>108225985.53</v>
          </cell>
          <cell r="DX31">
            <v>6378621.2000000002</v>
          </cell>
          <cell r="DZ31">
            <v>16402168.800000001</v>
          </cell>
          <cell r="ED31">
            <v>146672.4</v>
          </cell>
          <cell r="FL31">
            <v>561161220.58999991</v>
          </cell>
          <cell r="FR31">
            <v>68270234.75</v>
          </cell>
          <cell r="FX31">
            <v>623832.36</v>
          </cell>
          <cell r="GH31">
            <v>0</v>
          </cell>
          <cell r="GP31">
            <v>82874610.169999987</v>
          </cell>
          <cell r="GV31">
            <v>14000000</v>
          </cell>
          <cell r="HB31">
            <v>103246241.21000001</v>
          </cell>
          <cell r="HH31">
            <v>22000000</v>
          </cell>
          <cell r="HN31">
            <v>0</v>
          </cell>
          <cell r="HP31">
            <v>133867610</v>
          </cell>
          <cell r="HV31">
            <v>570797097.45000005</v>
          </cell>
          <cell r="IH31">
            <v>785300</v>
          </cell>
          <cell r="IV31">
            <v>14388500</v>
          </cell>
          <cell r="IX31">
            <v>36999000</v>
          </cell>
          <cell r="JH31">
            <v>1402256.56</v>
          </cell>
          <cell r="JN31">
            <v>17587700</v>
          </cell>
          <cell r="JT31">
            <v>8294089.4799999893</v>
          </cell>
          <cell r="JZ31">
            <v>157587700</v>
          </cell>
          <cell r="KF31">
            <v>82618210.519999996</v>
          </cell>
        </row>
        <row r="35">
          <cell r="E35">
            <v>6034501956.2299995</v>
          </cell>
        </row>
        <row r="36">
          <cell r="E36">
            <v>6274455.4134</v>
          </cell>
        </row>
        <row r="40">
          <cell r="K40">
            <v>168603584.59999999</v>
          </cell>
        </row>
      </sheetData>
      <sheetData sheetId="82">
        <row r="32">
          <cell r="C32">
            <v>278730.29106000013</v>
          </cell>
        </row>
      </sheetData>
      <sheetData sheetId="83"/>
      <sheetData sheetId="84">
        <row r="10">
          <cell r="K10">
            <v>8749440</v>
          </cell>
          <cell r="M10">
            <v>0</v>
          </cell>
          <cell r="AM10">
            <v>445363.35000000003</v>
          </cell>
          <cell r="BA10">
            <v>394394.56</v>
          </cell>
          <cell r="BC10">
            <v>3170940.11</v>
          </cell>
        </row>
        <row r="11">
          <cell r="K11">
            <v>30701160</v>
          </cell>
          <cell r="M11">
            <v>735896</v>
          </cell>
          <cell r="AM11">
            <v>0</v>
          </cell>
          <cell r="AQ11">
            <v>25000000</v>
          </cell>
          <cell r="AU11">
            <v>70000000</v>
          </cell>
          <cell r="BA11">
            <v>2711655.94</v>
          </cell>
          <cell r="BC11">
            <v>6008027.3300000001</v>
          </cell>
          <cell r="BE11">
            <v>1652821.17</v>
          </cell>
        </row>
        <row r="12">
          <cell r="K12">
            <v>15155280</v>
          </cell>
          <cell r="M12">
            <v>26621400</v>
          </cell>
          <cell r="W12">
            <v>1000000</v>
          </cell>
          <cell r="AM12">
            <v>228319.55</v>
          </cell>
          <cell r="BA12">
            <v>1014694.09</v>
          </cell>
          <cell r="BC12">
            <v>3003486.5</v>
          </cell>
        </row>
        <row r="13">
          <cell r="K13">
            <v>14530320</v>
          </cell>
          <cell r="M13">
            <v>2651370</v>
          </cell>
          <cell r="Q13">
            <v>5000000</v>
          </cell>
          <cell r="AM13">
            <v>0</v>
          </cell>
          <cell r="BA13">
            <v>1098801.94</v>
          </cell>
          <cell r="BC13">
            <v>4502703.5999999996</v>
          </cell>
        </row>
        <row r="14">
          <cell r="K14">
            <v>14764680</v>
          </cell>
          <cell r="M14">
            <v>6500000</v>
          </cell>
          <cell r="AM14">
            <v>27995582.25</v>
          </cell>
          <cell r="BA14">
            <v>856247.19000000006</v>
          </cell>
          <cell r="BC14">
            <v>4214286.28</v>
          </cell>
        </row>
        <row r="15">
          <cell r="K15">
            <v>10389960</v>
          </cell>
          <cell r="M15">
            <v>14067020</v>
          </cell>
          <cell r="AM15">
            <v>2051401.41</v>
          </cell>
          <cell r="BA15">
            <v>552353.44999999995</v>
          </cell>
          <cell r="BC15">
            <v>2791921.44</v>
          </cell>
        </row>
        <row r="16">
          <cell r="K16">
            <v>14764680</v>
          </cell>
          <cell r="M16">
            <v>8304400</v>
          </cell>
          <cell r="AM16">
            <v>14939897.189999999</v>
          </cell>
          <cell r="AY16">
            <v>48036000</v>
          </cell>
          <cell r="BA16">
            <v>1009248.56</v>
          </cell>
          <cell r="BC16">
            <v>3155879.5500000003</v>
          </cell>
        </row>
        <row r="17">
          <cell r="K17">
            <v>12421080</v>
          </cell>
          <cell r="M17">
            <v>3347000</v>
          </cell>
          <cell r="AM17">
            <v>0</v>
          </cell>
          <cell r="BA17">
            <v>1099438.9200000002</v>
          </cell>
          <cell r="BC17">
            <v>4834694.42</v>
          </cell>
          <cell r="BE17">
            <v>1222826.07</v>
          </cell>
        </row>
        <row r="18">
          <cell r="K18">
            <v>9061920</v>
          </cell>
          <cell r="M18">
            <v>13186000</v>
          </cell>
          <cell r="AM18">
            <v>1553071.96</v>
          </cell>
          <cell r="BA18">
            <v>502699.32999999996</v>
          </cell>
          <cell r="BC18">
            <v>2835010.64</v>
          </cell>
        </row>
        <row r="19">
          <cell r="K19">
            <v>6327720</v>
          </cell>
          <cell r="M19">
            <v>2095860.9999999998</v>
          </cell>
          <cell r="AM19">
            <v>2580247.33</v>
          </cell>
          <cell r="BA19">
            <v>400113.93</v>
          </cell>
          <cell r="BC19">
            <v>1767300.9300000002</v>
          </cell>
        </row>
        <row r="20">
          <cell r="K20">
            <v>19139400</v>
          </cell>
          <cell r="M20">
            <v>39969462</v>
          </cell>
          <cell r="AM20">
            <v>0</v>
          </cell>
          <cell r="AQ20">
            <v>24500000</v>
          </cell>
          <cell r="AU20">
            <v>50000000</v>
          </cell>
          <cell r="BA20">
            <v>1279984.3699999999</v>
          </cell>
          <cell r="BC20">
            <v>3273136.63</v>
          </cell>
        </row>
        <row r="21">
          <cell r="K21">
            <v>9296280</v>
          </cell>
          <cell r="M21">
            <v>2646132</v>
          </cell>
          <cell r="AM21">
            <v>0</v>
          </cell>
          <cell r="BA21">
            <v>531435.92000000004</v>
          </cell>
          <cell r="BC21">
            <v>2264279.0100000002</v>
          </cell>
        </row>
        <row r="22">
          <cell r="K22">
            <v>22186080</v>
          </cell>
          <cell r="M22">
            <v>1600000</v>
          </cell>
          <cell r="AM22">
            <v>229665</v>
          </cell>
          <cell r="BA22">
            <v>1918213.28</v>
          </cell>
          <cell r="BC22">
            <v>3664986.56</v>
          </cell>
        </row>
        <row r="23">
          <cell r="K23">
            <v>10624320</v>
          </cell>
          <cell r="M23">
            <v>45616210</v>
          </cell>
          <cell r="AM23">
            <v>0</v>
          </cell>
          <cell r="BA23">
            <v>553306.77</v>
          </cell>
          <cell r="BC23">
            <v>3682081.37</v>
          </cell>
        </row>
        <row r="24">
          <cell r="K24">
            <v>11327400</v>
          </cell>
          <cell r="M24">
            <v>1127170</v>
          </cell>
          <cell r="AM24">
            <v>0</v>
          </cell>
          <cell r="BA24">
            <v>727611.75</v>
          </cell>
          <cell r="BC24">
            <v>2981368.75</v>
          </cell>
        </row>
        <row r="25">
          <cell r="K25">
            <v>18280080</v>
          </cell>
          <cell r="M25">
            <v>15085411</v>
          </cell>
          <cell r="AM25">
            <v>506660.86</v>
          </cell>
          <cell r="AQ25">
            <v>19639768</v>
          </cell>
          <cell r="AU25">
            <v>50000000</v>
          </cell>
          <cell r="BA25">
            <v>1616330.16</v>
          </cell>
          <cell r="BC25">
            <v>6937860.3300000001</v>
          </cell>
          <cell r="BE25">
            <v>1317509.55</v>
          </cell>
        </row>
        <row r="26">
          <cell r="K26">
            <v>10155600</v>
          </cell>
          <cell r="M26">
            <v>3405950</v>
          </cell>
          <cell r="AM26">
            <v>0</v>
          </cell>
          <cell r="BA26">
            <v>638101.89</v>
          </cell>
          <cell r="BC26">
            <v>3324736.5100000002</v>
          </cell>
        </row>
        <row r="27">
          <cell r="K27">
            <v>16717680</v>
          </cell>
          <cell r="M27">
            <v>15382318</v>
          </cell>
          <cell r="AM27">
            <v>0</v>
          </cell>
          <cell r="AQ27">
            <v>36977664</v>
          </cell>
          <cell r="BA27">
            <v>1015756.61</v>
          </cell>
          <cell r="BC27">
            <v>4633271.67</v>
          </cell>
        </row>
        <row r="30">
          <cell r="K30">
            <v>31638600</v>
          </cell>
          <cell r="M30">
            <v>4158399.9999999995</v>
          </cell>
          <cell r="AG30">
            <v>70000000</v>
          </cell>
          <cell r="BA30">
            <v>3333157.87</v>
          </cell>
        </row>
        <row r="31">
          <cell r="K31">
            <v>172723320</v>
          </cell>
          <cell r="M31">
            <v>43500000</v>
          </cell>
          <cell r="AG31">
            <v>436290000</v>
          </cell>
          <cell r="AY31">
            <v>217000000</v>
          </cell>
          <cell r="BA31">
            <v>13746453.470000001</v>
          </cell>
        </row>
        <row r="35">
          <cell r="B35">
            <v>1914974612.53</v>
          </cell>
        </row>
        <row r="37">
          <cell r="B37">
            <v>312995.3</v>
          </cell>
        </row>
        <row r="39">
          <cell r="B39">
            <v>2854823100.6399999</v>
          </cell>
        </row>
        <row r="41">
          <cell r="B41">
            <v>13091200</v>
          </cell>
        </row>
        <row r="42">
          <cell r="B42">
            <v>88446000</v>
          </cell>
        </row>
        <row r="43">
          <cell r="B43">
            <v>111601200</v>
          </cell>
        </row>
        <row r="44">
          <cell r="B44">
            <v>413696300</v>
          </cell>
        </row>
        <row r="45">
          <cell r="C45">
            <v>493122000</v>
          </cell>
        </row>
      </sheetData>
      <sheetData sheetId="85"/>
      <sheetData sheetId="86"/>
      <sheetData sheetId="87"/>
      <sheetData sheetId="88"/>
      <sheetData sheetId="89"/>
      <sheetData sheetId="90"/>
      <sheetData sheetId="91"/>
      <sheetData sheetId="92"/>
      <sheetData sheetId="93"/>
      <sheetData sheetId="94"/>
      <sheetData sheetId="95"/>
      <sheetData sheetId="96">
        <row r="4">
          <cell r="D4" t="str">
            <v>ПО  СОСТОЯНИЮ  НА  1  ОКТЯБРЯ  2021  ГОДА</v>
          </cell>
        </row>
      </sheetData>
      <sheetData sheetId="97"/>
      <sheetData sheetId="9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полнение  по  дотации"/>
      <sheetName val="Исполнение  по  субсидии"/>
      <sheetName val="Исполнение  по  субвенции"/>
      <sheetName val="Исполнение  по  иным  МБТ"/>
      <sheetName val="Исполнение  по  МБТ  всего"/>
      <sheetName val="Дотация  на  выравнивание  БП"/>
      <sheetName val="Дотация  на  выравнивание  МР"/>
      <sheetName val="Дотация  на  сбалансированность"/>
      <sheetName val="Субсидия_ФСР"/>
      <sheetName val="Субсидия  из  ОБ"/>
      <sheetName val="Уточнения  по  МБТ  в  марте"/>
      <sheetName val="Уточнения  по  МБТ  в  мае"/>
      <sheetName val="Уточнения  по  МБТ  в  июле "/>
      <sheetName val="Уточнения  по  МБТ  в  августе"/>
      <sheetName val="Уточнения  по  МБТ  в  октябре"/>
      <sheetName val="Уточнения  по  субвенции"/>
      <sheetName val="Уточнение  по  МБТ  за  год"/>
      <sheetName val="Годовые  поправки  по МБТ_всего"/>
      <sheetName val="Уточнения  по  уровням  бюджета"/>
    </sheetNames>
    <sheetDataSet>
      <sheetData sheetId="0">
        <row r="38">
          <cell r="B38">
            <v>4281021.4570000004</v>
          </cell>
          <cell r="E38">
            <v>3066057.5315699996</v>
          </cell>
        </row>
        <row r="40">
          <cell r="B40">
            <v>4281021.4570000004</v>
          </cell>
          <cell r="E40">
            <v>3066057.5315699996</v>
          </cell>
        </row>
        <row r="41">
          <cell r="B41">
            <v>0</v>
          </cell>
          <cell r="E41">
            <v>0</v>
          </cell>
        </row>
      </sheetData>
      <sheetData sheetId="1">
        <row r="39">
          <cell r="B39">
            <v>6034501.9562299997</v>
          </cell>
          <cell r="C39">
            <v>3389548.9862700002</v>
          </cell>
        </row>
        <row r="41">
          <cell r="B41">
            <v>2704169.9236500002</v>
          </cell>
          <cell r="C41">
            <v>1631552.2669600002</v>
          </cell>
        </row>
        <row r="44">
          <cell r="B44">
            <v>6034501.9562299997</v>
          </cell>
          <cell r="C44">
            <v>3389548.9862700002</v>
          </cell>
        </row>
      </sheetData>
      <sheetData sheetId="2">
        <row r="39">
          <cell r="B39">
            <v>12274004.48322</v>
          </cell>
          <cell r="G39">
            <v>9161039.4808599986</v>
          </cell>
        </row>
        <row r="41">
          <cell r="B41">
            <v>451953.7</v>
          </cell>
          <cell r="G41">
            <v>237808.61218999999</v>
          </cell>
        </row>
        <row r="44">
          <cell r="B44">
            <v>12151911.593219999</v>
          </cell>
          <cell r="G44">
            <v>9071259.450079998</v>
          </cell>
        </row>
        <row r="45">
          <cell r="B45">
            <v>122092.88999999998</v>
          </cell>
          <cell r="G45">
            <v>89780.030780000001</v>
          </cell>
        </row>
      </sheetData>
      <sheetData sheetId="3">
        <row r="37">
          <cell r="B37">
            <v>1914974.61253</v>
          </cell>
          <cell r="G37">
            <v>1517700.3035900001</v>
          </cell>
        </row>
        <row r="39">
          <cell r="B39">
            <v>1141245</v>
          </cell>
          <cell r="G39">
            <v>992303.60710000002</v>
          </cell>
        </row>
        <row r="42">
          <cell r="B42">
            <v>1547892.6409</v>
          </cell>
          <cell r="G42">
            <v>1150618.3319600001</v>
          </cell>
        </row>
        <row r="43">
          <cell r="B43">
            <v>367081.97162999999</v>
          </cell>
          <cell r="G43">
            <v>367081.97162999999</v>
          </cell>
        </row>
      </sheetData>
      <sheetData sheetId="4">
        <row r="33">
          <cell r="B33">
            <v>24504502.508979999</v>
          </cell>
          <cell r="E33">
            <v>17134346.30229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2:WO61"/>
  <sheetViews>
    <sheetView tabSelected="1" zoomScale="40" zoomScaleNormal="40" zoomScaleSheetLayoutView="30" workbookViewId="0">
      <selection activeCell="RG40" sqref="RG40"/>
    </sheetView>
  </sheetViews>
  <sheetFormatPr defaultRowHeight="16.5" x14ac:dyDescent="0.2"/>
  <cols>
    <col min="1" max="1" width="28.140625" style="223" customWidth="1"/>
    <col min="2" max="2" width="28" style="223" customWidth="1"/>
    <col min="3" max="3" width="28.140625" style="223" customWidth="1"/>
    <col min="4" max="4" width="25.85546875" style="223" customWidth="1"/>
    <col min="5" max="5" width="25.140625" style="223" customWidth="1"/>
    <col min="6" max="7" width="25.85546875" style="223" customWidth="1"/>
    <col min="8" max="9" width="23.5703125" style="223" customWidth="1"/>
    <col min="10" max="13" width="24.5703125" style="223" customWidth="1"/>
    <col min="14" max="14" width="26.85546875" style="223" customWidth="1"/>
    <col min="15" max="15" width="27.85546875" style="223" customWidth="1"/>
    <col min="16" max="16" width="24.42578125" style="223" customWidth="1"/>
    <col min="17" max="19" width="25.42578125" style="223" customWidth="1"/>
    <col min="20" max="20" width="23.85546875" style="223" customWidth="1"/>
    <col min="21" max="21" width="25.42578125" style="223" customWidth="1"/>
    <col min="22" max="23" width="24.5703125" style="223" customWidth="1"/>
    <col min="24" max="24" width="21" style="223" hidden="1" customWidth="1"/>
    <col min="25" max="25" width="22.85546875" style="223" hidden="1" customWidth="1"/>
    <col min="26" max="26" width="24.85546875" style="223" hidden="1" customWidth="1"/>
    <col min="27" max="27" width="23.85546875" style="223" customWidth="1"/>
    <col min="28" max="28" width="24.42578125" style="223" customWidth="1"/>
    <col min="29" max="29" width="21.5703125" style="223" hidden="1" customWidth="1"/>
    <col min="30" max="30" width="24.42578125" style="223" hidden="1" customWidth="1"/>
    <col min="31" max="34" width="24.42578125" style="223" customWidth="1"/>
    <col min="35" max="35" width="26.42578125" style="223" customWidth="1"/>
    <col min="36" max="36" width="28" style="223" customWidth="1"/>
    <col min="37" max="37" width="23.140625" style="223" customWidth="1"/>
    <col min="38" max="38" width="28" style="223" hidden="1" customWidth="1"/>
    <col min="39" max="39" width="38.140625" style="223" hidden="1" customWidth="1"/>
    <col min="40" max="42" width="28" style="223" hidden="1" customWidth="1"/>
    <col min="43" max="43" width="23.140625" style="223" customWidth="1"/>
    <col min="44" max="44" width="28" style="223" hidden="1" customWidth="1"/>
    <col min="45" max="45" width="38" style="223" hidden="1" customWidth="1"/>
    <col min="46" max="48" width="28" style="223" hidden="1" customWidth="1"/>
    <col min="49" max="49" width="23.42578125" style="223" customWidth="1"/>
    <col min="50" max="50" width="28" style="223" hidden="1" customWidth="1"/>
    <col min="51" max="51" width="40" style="223" hidden="1" customWidth="1"/>
    <col min="52" max="52" width="28" style="223" hidden="1" customWidth="1"/>
    <col min="53" max="53" width="23.85546875" style="223" customWidth="1"/>
    <col min="54" max="54" width="28" style="223" hidden="1" customWidth="1"/>
    <col min="55" max="55" width="36" style="223" hidden="1" customWidth="1"/>
    <col min="56" max="56" width="28" style="223" hidden="1" customWidth="1"/>
    <col min="57" max="57" width="22.140625" style="223" customWidth="1"/>
    <col min="58" max="58" width="28" style="223" hidden="1" customWidth="1"/>
    <col min="59" max="59" width="38.85546875" style="223" hidden="1" customWidth="1"/>
    <col min="60" max="60" width="28" style="223" hidden="1" customWidth="1"/>
    <col min="61" max="61" width="23.140625" style="223" customWidth="1"/>
    <col min="62" max="62" width="28" style="223" hidden="1" customWidth="1"/>
    <col min="63" max="63" width="36" style="223" hidden="1" customWidth="1"/>
    <col min="64" max="64" width="28" style="223" hidden="1" customWidth="1"/>
    <col min="65" max="65" width="24.42578125" style="223" customWidth="1"/>
    <col min="66" max="66" width="28" style="223" hidden="1" customWidth="1"/>
    <col min="67" max="67" width="36" style="223" hidden="1" customWidth="1"/>
    <col min="68" max="68" width="24.85546875" style="223" hidden="1" customWidth="1"/>
    <col min="69" max="69" width="24" style="223" customWidth="1"/>
    <col min="70" max="70" width="28" style="223" hidden="1" customWidth="1"/>
    <col min="71" max="71" width="42.5703125" style="223" hidden="1" customWidth="1"/>
    <col min="72" max="72" width="26" style="223" hidden="1" customWidth="1"/>
    <col min="73" max="73" width="26.85546875" style="223" customWidth="1"/>
    <col min="74" max="74" width="23.85546875" style="223" hidden="1" customWidth="1"/>
    <col min="75" max="76" width="25.42578125" style="223" hidden="1" customWidth="1"/>
    <col min="77" max="77" width="23.85546875" hidden="1" customWidth="1"/>
    <col min="78" max="78" width="24.85546875" style="223" customWidth="1"/>
    <col min="79" max="81" width="24.85546875" style="223" hidden="1" customWidth="1"/>
    <col min="82" max="82" width="23.85546875" hidden="1" customWidth="1"/>
    <col min="83" max="83" width="23.42578125" style="223" customWidth="1"/>
    <col min="84" max="86" width="22.85546875" style="223" hidden="1" customWidth="1"/>
    <col min="87" max="87" width="23.85546875" hidden="1" customWidth="1"/>
    <col min="88" max="88" width="23" style="223" customWidth="1"/>
    <col min="89" max="91" width="23" style="223" hidden="1" customWidth="1"/>
    <col min="92" max="92" width="23.85546875" hidden="1" customWidth="1"/>
    <col min="93" max="94" width="21.42578125" style="223" customWidth="1"/>
    <col min="95" max="95" width="23.140625" style="223" customWidth="1"/>
    <col min="96" max="96" width="23" style="223" customWidth="1"/>
    <col min="97" max="98" width="29.140625" style="223" customWidth="1"/>
    <col min="99" max="100" width="25.5703125" style="223" customWidth="1"/>
    <col min="101" max="104" width="27.42578125" style="223" customWidth="1"/>
    <col min="105" max="106" width="24.140625" style="223" customWidth="1"/>
    <col min="107" max="108" width="25.5703125" style="223" customWidth="1"/>
    <col min="109" max="113" width="25.140625" style="223" customWidth="1"/>
    <col min="114" max="116" width="25.140625" style="223" hidden="1" customWidth="1"/>
    <col min="117" max="117" width="25.140625" style="223" customWidth="1"/>
    <col min="118" max="120" width="25.140625" style="223" hidden="1" customWidth="1"/>
    <col min="121" max="121" width="23.85546875" style="223" customWidth="1"/>
    <col min="122" max="122" width="21" style="223" hidden="1" customWidth="1"/>
    <col min="123" max="123" width="25.140625" style="223" hidden="1" customWidth="1"/>
    <col min="124" max="124" width="24.85546875" style="223" hidden="1" customWidth="1"/>
    <col min="125" max="125" width="24.140625" style="223" hidden="1" customWidth="1"/>
    <col min="126" max="126" width="27.85546875" style="223" hidden="1" customWidth="1"/>
    <col min="127" max="127" width="23.42578125" style="223" hidden="1" customWidth="1"/>
    <col min="128" max="128" width="22.42578125" style="223" customWidth="1"/>
    <col min="129" max="129" width="21" style="223" hidden="1" customWidth="1"/>
    <col min="130" max="130" width="25.42578125" style="223" hidden="1" customWidth="1"/>
    <col min="131" max="131" width="26.140625" style="223" hidden="1" customWidth="1"/>
    <col min="132" max="134" width="25" style="223" hidden="1" customWidth="1"/>
    <col min="135" max="135" width="21" style="223" customWidth="1"/>
    <col min="136" max="137" width="24.85546875" style="223" hidden="1" customWidth="1"/>
    <col min="138" max="138" width="21" style="223" customWidth="1"/>
    <col min="139" max="139" width="28" style="223" hidden="1" customWidth="1"/>
    <col min="140" max="140" width="27.42578125" style="223" hidden="1" customWidth="1"/>
    <col min="141" max="141" width="24.140625" style="223" customWidth="1"/>
    <col min="142" max="142" width="23.42578125" style="223" hidden="1" customWidth="1"/>
    <col min="143" max="145" width="28.140625" style="223" hidden="1" customWidth="1"/>
    <col min="146" max="146" width="23.85546875" style="223" hidden="1" customWidth="1"/>
    <col min="147" max="147" width="28.140625" style="223" hidden="1" customWidth="1"/>
    <col min="148" max="148" width="23.85546875" style="223" customWidth="1"/>
    <col min="149" max="149" width="23" style="223" hidden="1" customWidth="1"/>
    <col min="150" max="152" width="28.140625" style="223" hidden="1" customWidth="1"/>
    <col min="153" max="153" width="24.140625" style="223" hidden="1" customWidth="1"/>
    <col min="154" max="154" width="25.85546875" style="223" hidden="1" customWidth="1"/>
    <col min="155" max="155" width="24.42578125" style="223" customWidth="1"/>
    <col min="156" max="157" width="28.140625" style="223" hidden="1" customWidth="1"/>
    <col min="158" max="158" width="23.85546875" style="223" customWidth="1"/>
    <col min="159" max="160" width="28.140625" style="223" hidden="1" customWidth="1"/>
    <col min="161" max="161" width="24.85546875" style="223" customWidth="1"/>
    <col min="162" max="163" width="28.140625" style="223" hidden="1" customWidth="1"/>
    <col min="164" max="164" width="22.5703125" style="223" customWidth="1"/>
    <col min="165" max="166" width="28.140625" style="223" hidden="1" customWidth="1"/>
    <col min="167" max="167" width="24.5703125" style="223" customWidth="1"/>
    <col min="168" max="169" width="27.42578125" style="223" hidden="1" customWidth="1"/>
    <col min="170" max="170" width="22" style="223" customWidth="1"/>
    <col min="171" max="172" width="27.42578125" style="223" hidden="1" customWidth="1"/>
    <col min="173" max="173" width="22.5703125" style="223" customWidth="1"/>
    <col min="174" max="175" width="27.42578125" style="223" hidden="1" customWidth="1"/>
    <col min="176" max="176" width="22.85546875" style="223" customWidth="1"/>
    <col min="177" max="178" width="27.42578125" style="223" hidden="1" customWidth="1"/>
    <col min="179" max="179" width="22.85546875" style="223" customWidth="1"/>
    <col min="180" max="181" width="27.42578125" style="223" hidden="1" customWidth="1"/>
    <col min="182" max="182" width="21.140625" style="223" customWidth="1"/>
    <col min="183" max="184" width="27.42578125" style="223" hidden="1" customWidth="1"/>
    <col min="185" max="185" width="24.5703125" style="223" customWidth="1"/>
    <col min="186" max="186" width="23.5703125" style="223" customWidth="1"/>
    <col min="187" max="187" width="21.42578125" style="223" customWidth="1"/>
    <col min="188" max="189" width="23.85546875" style="223" customWidth="1"/>
    <col min="190" max="191" width="23.85546875" style="223" hidden="1" customWidth="1"/>
    <col min="192" max="192" width="23.85546875" style="223" customWidth="1"/>
    <col min="193" max="194" width="23.85546875" style="223" hidden="1" customWidth="1"/>
    <col min="195" max="195" width="23.140625" style="223" customWidth="1"/>
    <col min="196" max="197" width="27.42578125" style="223" hidden="1" customWidth="1"/>
    <col min="198" max="198" width="23.140625" style="223" customWidth="1"/>
    <col min="199" max="200" width="27.42578125" style="223" hidden="1" customWidth="1"/>
    <col min="201" max="201" width="23.85546875" style="223" customWidth="1"/>
    <col min="202" max="203" width="27.42578125" style="223" hidden="1" customWidth="1"/>
    <col min="204" max="204" width="23.5703125" style="223" customWidth="1"/>
    <col min="205" max="206" width="27.42578125" style="223" hidden="1" customWidth="1"/>
    <col min="207" max="207" width="23.140625" style="223" customWidth="1"/>
    <col min="208" max="209" width="27.42578125" style="223" hidden="1" customWidth="1"/>
    <col min="210" max="210" width="22.5703125" style="223" customWidth="1"/>
    <col min="211" max="212" width="27.42578125" style="223" hidden="1" customWidth="1"/>
    <col min="213" max="213" width="21.140625" style="223" customWidth="1"/>
    <col min="214" max="215" width="27.42578125" style="223" hidden="1" customWidth="1"/>
    <col min="216" max="216" width="24.85546875" style="223" customWidth="1"/>
    <col min="217" max="218" width="27.42578125" style="223" hidden="1" customWidth="1"/>
    <col min="219" max="219" width="23.140625" style="223" customWidth="1"/>
    <col min="220" max="221" width="25" style="223" hidden="1" customWidth="1"/>
    <col min="222" max="222" width="22.5703125" style="223" customWidth="1"/>
    <col min="223" max="224" width="25" style="223" hidden="1" customWidth="1"/>
    <col min="225" max="225" width="23" style="223" customWidth="1"/>
    <col min="226" max="227" width="26.85546875" style="223" hidden="1" customWidth="1"/>
    <col min="228" max="228" width="23" style="223" customWidth="1"/>
    <col min="229" max="229" width="26.140625" style="223" hidden="1" customWidth="1"/>
    <col min="230" max="230" width="25.85546875" style="223" hidden="1" customWidth="1"/>
    <col min="231" max="231" width="23" style="223" customWidth="1"/>
    <col min="232" max="233" width="26.140625" style="223" hidden="1" customWidth="1"/>
    <col min="234" max="234" width="23" style="223" customWidth="1"/>
    <col min="235" max="235" width="26.42578125" style="223" hidden="1" customWidth="1"/>
    <col min="236" max="238" width="28.5703125" style="223" hidden="1" customWidth="1"/>
    <col min="239" max="239" width="23.85546875" customWidth="1"/>
    <col min="240" max="241" width="23.85546875" hidden="1" customWidth="1"/>
    <col min="242" max="242" width="23.85546875" customWidth="1"/>
    <col min="243" max="244" width="23.85546875" hidden="1" customWidth="1"/>
    <col min="245" max="245" width="20.5703125" customWidth="1"/>
    <col min="246" max="247" width="23.85546875" hidden="1" customWidth="1"/>
    <col min="248" max="248" width="21.5703125" customWidth="1"/>
    <col min="249" max="250" width="25.85546875" hidden="1" customWidth="1"/>
    <col min="251" max="251" width="22.5703125" style="223" customWidth="1"/>
    <col min="252" max="252" width="23.85546875" style="223" hidden="1" customWidth="1"/>
    <col min="253" max="253" width="28.5703125" style="223" hidden="1" customWidth="1"/>
    <col min="254" max="257" width="27.140625" style="223" hidden="1" customWidth="1"/>
    <col min="258" max="258" width="26.85546875" style="223" hidden="1" customWidth="1"/>
    <col min="259" max="260" width="27.140625" style="223" hidden="1" customWidth="1"/>
    <col min="261" max="261" width="22.140625" style="223" customWidth="1"/>
    <col min="262" max="262" width="22.140625" style="223" hidden="1" customWidth="1"/>
    <col min="263" max="263" width="26.7109375" style="223" hidden="1" customWidth="1"/>
    <col min="264" max="270" width="25.85546875" style="223" hidden="1" customWidth="1"/>
    <col min="271" max="271" width="24" style="223" customWidth="1"/>
    <col min="272" max="273" width="24" style="223" hidden="1" customWidth="1"/>
    <col min="274" max="275" width="29.42578125" style="223" hidden="1" customWidth="1"/>
    <col min="276" max="276" width="25.140625" style="223" customWidth="1"/>
    <col min="277" max="278" width="25.140625" style="223" hidden="1" customWidth="1"/>
    <col min="279" max="280" width="29.42578125" style="223" hidden="1" customWidth="1"/>
    <col min="281" max="281" width="23.140625" style="223" customWidth="1"/>
    <col min="282" max="282" width="23.140625" style="223" hidden="1" customWidth="1"/>
    <col min="283" max="283" width="29.85546875" style="223" hidden="1" customWidth="1"/>
    <col min="284" max="285" width="29.42578125" style="223" hidden="1" customWidth="1"/>
    <col min="286" max="286" width="21.5703125" style="223" customWidth="1"/>
    <col min="287" max="287" width="21.5703125" style="223" hidden="1" customWidth="1"/>
    <col min="288" max="288" width="27.7109375" style="223" hidden="1" customWidth="1"/>
    <col min="289" max="290" width="29.42578125" style="223" hidden="1" customWidth="1"/>
    <col min="291" max="291" width="23.85546875" style="223" customWidth="1"/>
    <col min="292" max="292" width="23.85546875" style="223" hidden="1" customWidth="1"/>
    <col min="293" max="293" width="29.140625" style="223" hidden="1" customWidth="1"/>
    <col min="294" max="295" width="29.42578125" style="223" hidden="1" customWidth="1"/>
    <col min="296" max="296" width="22.42578125" style="223" customWidth="1"/>
    <col min="297" max="297" width="22.42578125" style="223" hidden="1" customWidth="1"/>
    <col min="298" max="298" width="26.28515625" style="223" hidden="1" customWidth="1"/>
    <col min="299" max="300" width="29.42578125" style="223" hidden="1" customWidth="1"/>
    <col min="301" max="301" width="23" style="223" customWidth="1"/>
    <col min="302" max="302" width="23" style="223" hidden="1" customWidth="1"/>
    <col min="303" max="304" width="25.5703125" style="223" hidden="1" customWidth="1"/>
    <col min="305" max="305" width="23" style="223" customWidth="1"/>
    <col min="306" max="306" width="23" style="223" hidden="1" customWidth="1"/>
    <col min="307" max="312" width="23.85546875" hidden="1" customWidth="1"/>
    <col min="313" max="313" width="23.85546875" customWidth="1"/>
    <col min="314" max="316" width="23.85546875" hidden="1" customWidth="1"/>
    <col min="317" max="317" width="23.85546875" customWidth="1"/>
    <col min="318" max="320" width="26.5703125" hidden="1" customWidth="1"/>
    <col min="321" max="321" width="23.85546875" customWidth="1"/>
    <col min="322" max="324" width="25" hidden="1" customWidth="1"/>
    <col min="325" max="325" width="23.85546875" customWidth="1"/>
    <col min="326" max="327" width="23.85546875" hidden="1" customWidth="1"/>
    <col min="328" max="328" width="23.85546875" style="1535" hidden="1" customWidth="1"/>
    <col min="329" max="329" width="23.85546875" customWidth="1"/>
    <col min="330" max="332" width="25" hidden="1" customWidth="1"/>
    <col min="333" max="333" width="23.85546875" customWidth="1"/>
    <col min="334" max="336" width="25.85546875" hidden="1" customWidth="1"/>
    <col min="337" max="337" width="23.85546875" customWidth="1"/>
    <col min="338" max="340" width="25.85546875" hidden="1" customWidth="1"/>
    <col min="341" max="341" width="23.85546875" customWidth="1"/>
    <col min="342" max="344" width="25" hidden="1" customWidth="1"/>
    <col min="345" max="345" width="23.42578125" style="223" customWidth="1"/>
    <col min="346" max="346" width="23" style="223" hidden="1" customWidth="1"/>
    <col min="347" max="349" width="28.140625" style="223" hidden="1" customWidth="1"/>
    <col min="350" max="350" width="25" style="223" customWidth="1"/>
    <col min="351" max="351" width="23.85546875" style="223" hidden="1" customWidth="1"/>
    <col min="352" max="354" width="28.140625" style="223" hidden="1" customWidth="1"/>
    <col min="355" max="355" width="24.5703125" style="223" customWidth="1"/>
    <col min="356" max="356" width="22.42578125" style="223" hidden="1" customWidth="1"/>
    <col min="357" max="359" width="28.140625" style="223" hidden="1" customWidth="1"/>
    <col min="360" max="360" width="26.42578125" style="223" customWidth="1"/>
    <col min="361" max="364" width="28.140625" style="223" hidden="1" customWidth="1"/>
    <col min="365" max="365" width="28.140625" style="223" customWidth="1"/>
    <col min="366" max="366" width="24.42578125" style="223" hidden="1" customWidth="1"/>
    <col min="367" max="369" width="28.140625" style="223" hidden="1" customWidth="1"/>
    <col min="370" max="370" width="28.140625" style="223" customWidth="1"/>
    <col min="371" max="371" width="24.85546875" style="223" hidden="1" customWidth="1"/>
    <col min="372" max="374" width="28.140625" style="223" hidden="1" customWidth="1"/>
    <col min="375" max="375" width="24.5703125" style="223" customWidth="1"/>
    <col min="376" max="377" width="27.42578125" style="223" hidden="1" customWidth="1"/>
    <col min="378" max="378" width="24.140625" style="223" customWidth="1"/>
    <col min="379" max="380" width="27.42578125" style="223" hidden="1" customWidth="1"/>
    <col min="381" max="381" width="24.42578125" style="223" customWidth="1"/>
    <col min="382" max="383" width="28.140625" style="223" hidden="1" customWidth="1"/>
    <col min="384" max="384" width="25.42578125" style="223" hidden="1" customWidth="1"/>
    <col min="385" max="385" width="25.140625" style="223" hidden="1" customWidth="1"/>
    <col min="386" max="386" width="24.42578125" style="223" hidden="1" customWidth="1"/>
    <col min="387" max="387" width="28.140625" style="223" hidden="1" customWidth="1"/>
    <col min="388" max="388" width="24.42578125" style="223" customWidth="1"/>
    <col min="389" max="392" width="28.140625" style="223" hidden="1" customWidth="1"/>
    <col min="393" max="393" width="24.42578125" style="223" hidden="1" customWidth="1"/>
    <col min="394" max="394" width="28.140625" style="223" hidden="1" customWidth="1"/>
    <col min="395" max="395" width="25" style="223" customWidth="1"/>
    <col min="396" max="396" width="22.85546875" style="223" hidden="1" customWidth="1"/>
    <col min="397" max="397" width="28.140625" style="223" hidden="1" customWidth="1"/>
    <col min="398" max="401" width="24.140625" style="223" hidden="1" customWidth="1"/>
    <col min="402" max="402" width="25.42578125" style="223" customWidth="1"/>
    <col min="403" max="408" width="28.140625" style="223" hidden="1" customWidth="1"/>
    <col min="409" max="409" width="25" style="223" customWidth="1"/>
    <col min="410" max="415" width="28.140625" style="223" hidden="1" customWidth="1"/>
    <col min="416" max="416" width="24.140625" style="223" customWidth="1"/>
    <col min="417" max="422" width="28.140625" style="223" hidden="1" customWidth="1"/>
    <col min="423" max="423" width="28.140625" style="223" customWidth="1"/>
    <col min="424" max="429" width="28.140625" style="223" hidden="1" customWidth="1"/>
    <col min="430" max="430" width="28.140625" style="223" customWidth="1"/>
    <col min="431" max="436" width="28.140625" style="223" hidden="1" customWidth="1"/>
    <col min="437" max="437" width="26" style="223" customWidth="1"/>
    <col min="438" max="439" width="28.140625" style="223" hidden="1" customWidth="1"/>
    <col min="440" max="440" width="28.140625" style="223" customWidth="1"/>
    <col min="441" max="442" width="28.140625" style="223" hidden="1" customWidth="1"/>
    <col min="443" max="443" width="22.42578125" style="223" customWidth="1"/>
    <col min="444" max="445" width="28.140625" style="223" hidden="1" customWidth="1"/>
    <col min="446" max="446" width="28.140625" style="223" customWidth="1"/>
    <col min="447" max="448" width="28.140625" style="223" hidden="1" customWidth="1"/>
    <col min="449" max="449" width="23.140625" style="223" customWidth="1"/>
    <col min="450" max="451" width="28.140625" style="223" hidden="1" customWidth="1"/>
    <col min="452" max="452" width="28.140625" style="223" customWidth="1"/>
    <col min="453" max="454" width="28.140625" style="223" hidden="1" customWidth="1"/>
    <col min="455" max="455" width="28.140625" style="223" customWidth="1"/>
    <col min="456" max="457" width="28.140625" style="223" hidden="1" customWidth="1"/>
    <col min="458" max="458" width="28.140625" style="223" customWidth="1"/>
    <col min="459" max="460" width="28.140625" style="223" hidden="1" customWidth="1"/>
    <col min="461" max="461" width="28.5703125" style="223" customWidth="1"/>
    <col min="462" max="462" width="29.85546875" style="223" customWidth="1"/>
    <col min="463" max="463" width="24.42578125" style="223" customWidth="1"/>
    <col min="464" max="468" width="23.140625" style="223" customWidth="1"/>
    <col min="469" max="469" width="26.85546875" style="223" customWidth="1"/>
    <col min="470" max="470" width="25" style="223" hidden="1" customWidth="1"/>
    <col min="471" max="471" width="24" style="223" hidden="1" customWidth="1"/>
    <col min="472" max="472" width="26.42578125" style="223" customWidth="1"/>
    <col min="473" max="473" width="24.85546875" style="223" hidden="1" customWidth="1"/>
    <col min="474" max="474" width="24.5703125" style="223" hidden="1" customWidth="1"/>
    <col min="475" max="475" width="26.5703125" style="223" customWidth="1"/>
    <col min="476" max="476" width="24.42578125" style="223" customWidth="1"/>
    <col min="477" max="477" width="24.85546875" style="223" customWidth="1"/>
    <col min="478" max="478" width="23.5703125" style="223" customWidth="1"/>
    <col min="479" max="479" width="24" style="223" customWidth="1"/>
    <col min="480" max="480" width="23.85546875" style="223" customWidth="1"/>
    <col min="481" max="481" width="23.42578125" style="223" customWidth="1"/>
    <col min="482" max="482" width="23.5703125" style="223" customWidth="1"/>
    <col min="483" max="483" width="21.85546875" style="223" customWidth="1"/>
    <col min="484" max="484" width="21.42578125" style="223" customWidth="1"/>
    <col min="485" max="485" width="24.42578125" style="223" customWidth="1"/>
    <col min="486" max="486" width="26.5703125" style="223" customWidth="1"/>
    <col min="487" max="487" width="22" style="223" customWidth="1"/>
    <col min="488" max="488" width="22.42578125" style="223" customWidth="1"/>
    <col min="489" max="491" width="23.85546875" style="223" customWidth="1"/>
    <col min="492" max="493" width="23.85546875" style="223" hidden="1" customWidth="1"/>
    <col min="494" max="494" width="23.85546875" style="223" customWidth="1"/>
    <col min="495" max="496" width="23.85546875" style="223" hidden="1" customWidth="1"/>
    <col min="497" max="498" width="23.85546875" style="223" customWidth="1"/>
    <col min="499" max="499" width="22.140625" style="223" customWidth="1"/>
    <col min="500" max="501" width="22.140625" style="223" hidden="1" customWidth="1"/>
    <col min="502" max="502" width="21.85546875" style="223" customWidth="1"/>
    <col min="503" max="503" width="23.42578125" style="223" hidden="1" customWidth="1"/>
    <col min="504" max="504" width="24.5703125" style="223" hidden="1" customWidth="1"/>
    <col min="505" max="505" width="26.140625" style="223" customWidth="1"/>
    <col min="506" max="506" width="26.28515625" style="223" customWidth="1"/>
    <col min="507" max="507" width="23.42578125" style="223" customWidth="1"/>
    <col min="508" max="509" width="23.42578125" style="223" hidden="1" customWidth="1"/>
    <col min="510" max="510" width="23.42578125" style="223" customWidth="1"/>
    <col min="511" max="512" width="23.42578125" style="223" hidden="1" customWidth="1"/>
    <col min="513" max="513" width="23.42578125" style="223" customWidth="1"/>
    <col min="514" max="515" width="23.42578125" style="223" hidden="1" customWidth="1"/>
    <col min="516" max="516" width="23.42578125" style="223" customWidth="1"/>
    <col min="517" max="518" width="23.42578125" style="223" hidden="1" customWidth="1"/>
    <col min="519" max="519" width="25.85546875" style="223" customWidth="1"/>
    <col min="520" max="520" width="23" style="223" hidden="1" customWidth="1"/>
    <col min="521" max="521" width="23.42578125" style="223" customWidth="1"/>
    <col min="522" max="522" width="25" style="223" hidden="1" customWidth="1"/>
    <col min="523" max="523" width="23.42578125" style="223" customWidth="1"/>
    <col min="524" max="524" width="23.42578125" style="223" hidden="1" customWidth="1"/>
    <col min="525" max="525" width="23.42578125" style="223" customWidth="1"/>
    <col min="526" max="526" width="23.42578125" style="223" hidden="1" customWidth="1"/>
    <col min="527" max="531" width="23.42578125" style="223" customWidth="1"/>
    <col min="532" max="533" width="23.42578125" style="223" hidden="1" customWidth="1"/>
    <col min="534" max="534" width="23.42578125" style="223" customWidth="1"/>
    <col min="535" max="536" width="23.42578125" style="223" hidden="1" customWidth="1"/>
    <col min="537" max="537" width="23.42578125" style="223" customWidth="1"/>
    <col min="538" max="539" width="23.42578125" style="223" hidden="1" customWidth="1"/>
    <col min="540" max="540" width="23.42578125" style="223" customWidth="1"/>
    <col min="541" max="542" width="23.42578125" style="223" hidden="1" customWidth="1"/>
    <col min="543" max="546" width="23.42578125" style="223" customWidth="1"/>
    <col min="547" max="547" width="24.140625" style="223" customWidth="1"/>
    <col min="548" max="549" width="27.140625" style="223" hidden="1" customWidth="1"/>
    <col min="550" max="550" width="25.140625" style="223" customWidth="1"/>
    <col min="551" max="552" width="27.140625" style="223" hidden="1" customWidth="1"/>
    <col min="553" max="553" width="24.85546875" style="223" customWidth="1"/>
    <col min="554" max="556" width="27.140625" style="223" hidden="1" customWidth="1"/>
    <col min="557" max="557" width="24.85546875" style="223" customWidth="1"/>
    <col min="558" max="560" width="27.140625" style="223" hidden="1" customWidth="1"/>
    <col min="561" max="561" width="25.42578125" style="223" customWidth="1"/>
    <col min="562" max="563" width="25.42578125" style="223" hidden="1" customWidth="1"/>
    <col min="564" max="564" width="22.5703125" style="223" hidden="1" customWidth="1"/>
    <col min="565" max="567" width="22.140625" style="223" hidden="1" customWidth="1"/>
    <col min="568" max="568" width="22" style="223" customWidth="1"/>
    <col min="569" max="571" width="22" style="223" hidden="1" customWidth="1"/>
    <col min="572" max="574" width="23.85546875" style="223" hidden="1" customWidth="1"/>
    <col min="575" max="575" width="23.140625" style="223" customWidth="1"/>
    <col min="576" max="576" width="23.140625" style="223" hidden="1" customWidth="1"/>
    <col min="577" max="577" width="20.5703125" style="223" hidden="1" customWidth="1"/>
    <col min="578" max="578" width="22.85546875" style="223" customWidth="1"/>
    <col min="579" max="579" width="24.140625" style="223" hidden="1" customWidth="1"/>
    <col min="580" max="580" width="23.85546875" style="223" hidden="1" customWidth="1"/>
    <col min="581" max="581" width="24.140625" style="223" customWidth="1"/>
    <col min="582" max="583" width="24" style="223" hidden="1" customWidth="1"/>
    <col min="584" max="584" width="24" style="223" customWidth="1"/>
    <col min="585" max="586" width="24" style="223" hidden="1" customWidth="1"/>
    <col min="587" max="587" width="20.5703125" style="223" customWidth="1"/>
    <col min="588" max="588" width="20.5703125" style="223" hidden="1" customWidth="1"/>
    <col min="589" max="589" width="22.5703125" style="223" hidden="1" customWidth="1"/>
    <col min="590" max="590" width="20.5703125" style="223" customWidth="1"/>
    <col min="591" max="592" width="20.5703125" style="223" hidden="1" customWidth="1"/>
    <col min="593" max="593" width="25.42578125" style="223" customWidth="1"/>
    <col min="594" max="594" width="24.5703125" style="223" customWidth="1"/>
    <col min="595" max="595" width="25" style="223" customWidth="1"/>
    <col min="596" max="596" width="26.42578125" style="223" customWidth="1"/>
    <col min="597" max="598" width="22.5703125" style="223" customWidth="1"/>
    <col min="599" max="599" width="23.85546875" style="223" customWidth="1"/>
    <col min="600" max="600" width="22.140625" style="223" customWidth="1"/>
    <col min="601" max="602" width="22.5703125" style="223" customWidth="1"/>
    <col min="603" max="603" width="25.5703125" style="223" customWidth="1"/>
    <col min="604" max="604" width="26.140625" style="223" customWidth="1"/>
    <col min="605" max="605" width="23.42578125" style="223" customWidth="1"/>
    <col min="606" max="606" width="23.5703125" style="223" customWidth="1"/>
    <col min="607" max="607" width="23.140625" style="223" customWidth="1"/>
    <col min="608" max="608" width="23.85546875" style="223" customWidth="1"/>
    <col min="609" max="610" width="23.42578125" style="223" customWidth="1"/>
    <col min="611" max="611" width="28.140625" style="223" customWidth="1"/>
    <col min="612" max="612" width="28.5703125" style="223" customWidth="1"/>
  </cols>
  <sheetData>
    <row r="2" spans="1:613" x14ac:dyDescent="0.2">
      <c r="G2" s="223" t="s">
        <v>430</v>
      </c>
      <c r="LF2" s="223"/>
      <c r="LG2" s="223"/>
    </row>
    <row r="3" spans="1:613" x14ac:dyDescent="0.2">
      <c r="G3" s="232"/>
      <c r="H3" s="232" t="str">
        <f>'[1]Факт  средств  из  ОБ_год '!$D$4</f>
        <v>ПО  СОСТОЯНИЮ  НА  1  ОКТЯБРЯ  2021  ГОДА</v>
      </c>
      <c r="I3" s="232"/>
      <c r="SY3" s="232"/>
      <c r="SZ3" s="232"/>
      <c r="VX3" s="232"/>
    </row>
    <row r="4" spans="1:613" x14ac:dyDescent="0.2">
      <c r="IE4" s="72"/>
      <c r="IF4" s="72"/>
      <c r="IG4" s="72"/>
      <c r="IH4" s="72"/>
      <c r="II4" s="72"/>
      <c r="IJ4" s="72"/>
      <c r="IK4" s="72"/>
      <c r="IL4" s="72"/>
      <c r="IM4" s="72"/>
      <c r="IN4" s="72"/>
      <c r="IO4" s="72"/>
      <c r="IP4" s="72"/>
    </row>
    <row r="5" spans="1:613" ht="17.25" thickBot="1" x14ac:dyDescent="0.25">
      <c r="O5" s="223" t="s">
        <v>20</v>
      </c>
      <c r="IE5" s="72"/>
      <c r="IF5" s="72"/>
      <c r="IG5" s="72"/>
      <c r="II5" s="72"/>
      <c r="IJ5" s="72"/>
      <c r="IK5" s="72"/>
      <c r="IL5" s="72"/>
      <c r="IM5" s="72"/>
      <c r="IN5" s="72"/>
      <c r="IO5" s="72"/>
      <c r="IP5" s="72"/>
      <c r="KW5" s="72"/>
    </row>
    <row r="6" spans="1:613" ht="49.5" customHeight="1" thickBot="1" x14ac:dyDescent="0.3">
      <c r="A6" s="1682" t="s">
        <v>12</v>
      </c>
      <c r="B6" s="1665" t="s">
        <v>151</v>
      </c>
      <c r="C6" s="1671"/>
      <c r="D6" s="1051"/>
      <c r="E6" s="1050"/>
      <c r="F6" s="1090" t="s">
        <v>38</v>
      </c>
      <c r="G6" s="1050"/>
      <c r="H6" s="1050"/>
      <c r="I6" s="1050"/>
      <c r="J6" s="1050"/>
      <c r="K6" s="1050"/>
      <c r="L6" s="1050"/>
      <c r="M6" s="1050"/>
      <c r="N6" s="1050"/>
      <c r="O6" s="1050"/>
      <c r="P6" s="1050"/>
      <c r="Q6" s="1050"/>
      <c r="R6" s="1050"/>
      <c r="S6" s="1050"/>
      <c r="T6" s="1050"/>
      <c r="U6" s="1050"/>
      <c r="V6" s="1050"/>
      <c r="W6" s="1050"/>
      <c r="X6" s="1050"/>
      <c r="Y6" s="1050"/>
      <c r="Z6" s="1050"/>
      <c r="AA6" s="1050"/>
      <c r="AB6" s="1050"/>
      <c r="AC6" s="1050"/>
      <c r="AD6" s="1050"/>
      <c r="AE6" s="1050"/>
      <c r="AF6" s="1050"/>
      <c r="AG6" s="1050"/>
      <c r="AH6" s="1050"/>
      <c r="AI6" s="1050"/>
      <c r="AJ6" s="1050"/>
      <c r="AK6" s="1068"/>
      <c r="AL6" s="1068"/>
      <c r="AM6" s="1068"/>
      <c r="AN6" s="1068"/>
      <c r="AO6" s="1068"/>
      <c r="AP6" s="1454"/>
      <c r="AQ6" s="1068"/>
      <c r="AR6" s="1068"/>
      <c r="AS6" s="1068"/>
      <c r="AT6" s="1068"/>
      <c r="AU6" s="1068"/>
      <c r="AV6" s="1454"/>
      <c r="AW6" s="1068"/>
      <c r="AX6" s="1068"/>
      <c r="AY6" s="1068"/>
      <c r="AZ6" s="1068"/>
      <c r="BA6" s="1068"/>
      <c r="BB6" s="1068"/>
      <c r="BC6" s="1068"/>
      <c r="BD6" s="1068"/>
      <c r="BE6" s="1068"/>
      <c r="BF6" s="1068"/>
      <c r="BG6" s="1068"/>
      <c r="BH6" s="1068"/>
      <c r="BI6" s="1068"/>
      <c r="BJ6" s="1068"/>
      <c r="BK6" s="1068"/>
      <c r="BL6" s="1068"/>
      <c r="BM6" s="1068"/>
      <c r="BN6" s="1068"/>
      <c r="BO6" s="1068"/>
      <c r="BP6" s="1068"/>
      <c r="BQ6" s="1068"/>
      <c r="BR6" s="1068"/>
      <c r="BS6" s="1068"/>
      <c r="BT6" s="1068"/>
      <c r="BU6" s="1050"/>
      <c r="BV6" s="1050"/>
      <c r="BW6" s="1050"/>
      <c r="BX6" s="1281"/>
      <c r="BY6" s="1050"/>
      <c r="BZ6" s="1050"/>
      <c r="CA6" s="1050"/>
      <c r="CB6" s="1050"/>
      <c r="CC6" s="1281"/>
      <c r="CD6" s="1050"/>
      <c r="CE6" s="1050"/>
      <c r="CF6" s="1050"/>
      <c r="CG6" s="1050"/>
      <c r="CH6" s="1281"/>
      <c r="CI6" s="1050"/>
      <c r="CJ6" s="1050"/>
      <c r="CK6" s="1050"/>
      <c r="CL6" s="1050"/>
      <c r="CM6" s="1281"/>
      <c r="CN6" s="1050"/>
      <c r="CO6" s="1050"/>
      <c r="CP6" s="1050"/>
      <c r="CQ6" s="1050"/>
      <c r="CR6" s="1050"/>
      <c r="CS6" s="1050"/>
      <c r="CT6" s="1050"/>
      <c r="CU6" s="1050"/>
      <c r="CV6" s="1050"/>
      <c r="CW6" s="1050"/>
      <c r="CX6" s="1050"/>
      <c r="CY6" s="1050"/>
      <c r="CZ6" s="1050"/>
      <c r="DA6" s="1050"/>
      <c r="DB6" s="1050"/>
      <c r="DC6" s="1050"/>
      <c r="DD6" s="1050"/>
      <c r="DE6" s="1050"/>
      <c r="DF6" s="1050"/>
      <c r="DG6" s="1050"/>
      <c r="DH6" s="1050"/>
      <c r="DI6" s="1126"/>
      <c r="DJ6" s="1484"/>
      <c r="DK6" s="1126"/>
      <c r="DL6" s="1126"/>
      <c r="DM6" s="1126"/>
      <c r="DN6" s="1484"/>
      <c r="DO6" s="1126"/>
      <c r="DP6" s="1126"/>
      <c r="DQ6" s="1050"/>
      <c r="DR6" s="1050"/>
      <c r="DS6" s="1050"/>
      <c r="DT6" s="1050"/>
      <c r="DU6" s="1050"/>
      <c r="DV6" s="1050"/>
      <c r="DW6" s="1050"/>
      <c r="DX6" s="1050"/>
      <c r="DY6" s="1050"/>
      <c r="DZ6" s="1050"/>
      <c r="EA6" s="1050"/>
      <c r="EB6" s="1050"/>
      <c r="EC6" s="1050"/>
      <c r="ED6" s="1050"/>
      <c r="EE6" s="1050"/>
      <c r="EF6" s="1050"/>
      <c r="EG6" s="1050"/>
      <c r="EH6" s="1050"/>
      <c r="EI6" s="1050"/>
      <c r="EJ6" s="1050"/>
      <c r="EK6" s="1050"/>
      <c r="EL6" s="1050"/>
      <c r="EM6" s="1050"/>
      <c r="EN6" s="1459"/>
      <c r="EO6" s="1459"/>
      <c r="EP6" s="1459"/>
      <c r="EQ6" s="1459"/>
      <c r="ER6" s="1050"/>
      <c r="ES6" s="1050"/>
      <c r="ET6" s="1050"/>
      <c r="EU6" s="1459"/>
      <c r="EV6" s="1459"/>
      <c r="EW6" s="1459"/>
      <c r="EX6" s="1459"/>
      <c r="EY6" s="1050"/>
      <c r="EZ6" s="1050"/>
      <c r="FA6" s="1050"/>
      <c r="FB6" s="1050"/>
      <c r="FC6" s="1050"/>
      <c r="FD6" s="1050"/>
      <c r="FE6" s="1050"/>
      <c r="FF6" s="1050"/>
      <c r="FG6" s="1050"/>
      <c r="FH6" s="1050"/>
      <c r="FI6" s="1050"/>
      <c r="FJ6" s="1050"/>
      <c r="FK6" s="1050"/>
      <c r="FL6" s="1050"/>
      <c r="FM6" s="1050"/>
      <c r="FN6" s="1050"/>
      <c r="FO6" s="1050"/>
      <c r="FP6" s="1050"/>
      <c r="FQ6" s="1050"/>
      <c r="FR6" s="1050"/>
      <c r="FS6" s="1050"/>
      <c r="FT6" s="1050"/>
      <c r="FU6" s="1050"/>
      <c r="FV6" s="1050"/>
      <c r="FW6" s="1155"/>
      <c r="FX6" s="1155"/>
      <c r="FY6" s="1155"/>
      <c r="FZ6" s="1155"/>
      <c r="GA6" s="1155"/>
      <c r="GB6" s="1155"/>
      <c r="GC6" s="1155"/>
      <c r="GD6" s="1155"/>
      <c r="GE6" s="1155"/>
      <c r="GF6" s="1155"/>
      <c r="GG6" s="1248"/>
      <c r="GH6" s="1248"/>
      <c r="GI6" s="1248"/>
      <c r="GJ6" s="1248"/>
      <c r="GK6" s="1248"/>
      <c r="GL6" s="1248"/>
      <c r="GM6" s="1113"/>
      <c r="GN6" s="1113"/>
      <c r="GO6" s="1113"/>
      <c r="GP6" s="1113"/>
      <c r="GQ6" s="1113"/>
      <c r="GR6" s="1113"/>
      <c r="GS6" s="1113"/>
      <c r="GT6" s="1113"/>
      <c r="GU6" s="1113"/>
      <c r="GV6" s="1113"/>
      <c r="GW6" s="1113"/>
      <c r="GX6" s="1113"/>
      <c r="GY6" s="1113"/>
      <c r="GZ6" s="1113"/>
      <c r="HA6" s="1113"/>
      <c r="HB6" s="1113"/>
      <c r="HC6" s="1113"/>
      <c r="HD6" s="1113"/>
      <c r="HE6" s="1113"/>
      <c r="HF6" s="1113"/>
      <c r="HG6" s="1113"/>
      <c r="HH6" s="1113"/>
      <c r="HI6" s="1113"/>
      <c r="HJ6" s="1113"/>
      <c r="HK6" s="1050"/>
      <c r="HL6" s="1050"/>
      <c r="HM6" s="1050"/>
      <c r="HN6" s="1050"/>
      <c r="HO6" s="1050"/>
      <c r="HP6" s="1050"/>
      <c r="HQ6" s="1050"/>
      <c r="HR6" s="1050"/>
      <c r="HS6" s="1050"/>
      <c r="HT6" s="1050"/>
      <c r="HU6" s="1050"/>
      <c r="HV6" s="1050"/>
      <c r="HW6" s="1050"/>
      <c r="HX6" s="1050"/>
      <c r="HY6" s="1050"/>
      <c r="HZ6" s="1050"/>
      <c r="IA6" s="1050"/>
      <c r="IB6" s="1050"/>
      <c r="IC6" s="1593"/>
      <c r="ID6" s="1593"/>
      <c r="IE6" s="1050"/>
      <c r="IF6" s="1050"/>
      <c r="IG6" s="1050"/>
      <c r="IH6" s="1050"/>
      <c r="II6" s="1050"/>
      <c r="IJ6" s="1050"/>
      <c r="IK6" s="1050"/>
      <c r="IL6" s="1050"/>
      <c r="IM6" s="1050"/>
      <c r="IN6" s="1050"/>
      <c r="IO6" s="1050"/>
      <c r="IP6" s="1050"/>
      <c r="IQ6" s="1050"/>
      <c r="IR6" s="1622"/>
      <c r="IS6" s="1619"/>
      <c r="IT6" s="1050"/>
      <c r="IU6" s="1050"/>
      <c r="IV6" s="1599"/>
      <c r="IW6" s="1599"/>
      <c r="IX6" s="1259"/>
      <c r="IY6" s="1259"/>
      <c r="IZ6" s="1264"/>
      <c r="JA6" s="1050"/>
      <c r="JB6" s="1622"/>
      <c r="JC6" s="1619"/>
      <c r="JD6" s="1050"/>
      <c r="JE6" s="1050"/>
      <c r="JF6" s="1599"/>
      <c r="JG6" s="1599"/>
      <c r="JH6" s="1259"/>
      <c r="JI6" s="1259"/>
      <c r="JJ6" s="1264"/>
      <c r="JK6" s="1050"/>
      <c r="JL6" s="1622"/>
      <c r="JM6" s="1619"/>
      <c r="JN6" s="1050"/>
      <c r="JO6" s="1050"/>
      <c r="JP6" s="1050"/>
      <c r="JQ6" s="1622"/>
      <c r="JR6" s="1619"/>
      <c r="JS6" s="1050"/>
      <c r="JT6" s="1050"/>
      <c r="JU6" s="1050"/>
      <c r="JV6" s="1622"/>
      <c r="JW6" s="1619"/>
      <c r="JX6" s="1050"/>
      <c r="JY6" s="1050"/>
      <c r="JZ6" s="1050"/>
      <c r="KA6" s="1622"/>
      <c r="KB6" s="1619"/>
      <c r="KC6" s="1050"/>
      <c r="KD6" s="1050"/>
      <c r="KE6" s="1050"/>
      <c r="KF6" s="1622"/>
      <c r="KG6" s="1619"/>
      <c r="KH6" s="1050"/>
      <c r="KI6" s="1050"/>
      <c r="KJ6" s="1050"/>
      <c r="KK6" s="1622"/>
      <c r="KL6" s="1619"/>
      <c r="KM6" s="1050"/>
      <c r="KN6" s="1050"/>
      <c r="KO6" s="1050"/>
      <c r="KP6" s="1050"/>
      <c r="KQ6" s="1050"/>
      <c r="KR6" s="1090"/>
      <c r="KS6" s="1050"/>
      <c r="KT6" s="1050"/>
      <c r="KU6" s="1050"/>
      <c r="KV6" s="1090"/>
      <c r="KW6" s="1050"/>
      <c r="KX6" s="1093"/>
      <c r="KY6" s="1050"/>
      <c r="KZ6" s="1093"/>
      <c r="LA6" s="1050"/>
      <c r="LB6" s="1050"/>
      <c r="LC6" s="1050"/>
      <c r="LD6" s="1099"/>
      <c r="LE6" s="1050"/>
      <c r="LF6" s="1050"/>
      <c r="LG6" s="1050"/>
      <c r="LH6" s="1099"/>
      <c r="LI6" s="1050"/>
      <c r="LJ6" s="1050"/>
      <c r="LK6" s="1050"/>
      <c r="LL6" s="1099"/>
      <c r="LM6" s="1050"/>
      <c r="LN6" s="1050"/>
      <c r="LO6" s="1050"/>
      <c r="LP6" s="1530"/>
      <c r="LQ6" s="1050"/>
      <c r="LR6" s="1050"/>
      <c r="LS6" s="1050"/>
      <c r="LT6" s="1099"/>
      <c r="LU6" s="1050"/>
      <c r="LV6" s="1050"/>
      <c r="LW6" s="1050"/>
      <c r="LX6" s="1099"/>
      <c r="LY6" s="1050"/>
      <c r="LZ6" s="1050"/>
      <c r="MA6" s="1050"/>
      <c r="MB6" s="1099"/>
      <c r="MC6" s="1050"/>
      <c r="MD6" s="1050"/>
      <c r="ME6" s="1050"/>
      <c r="MF6" s="1099"/>
      <c r="MG6" s="1141"/>
      <c r="MH6" s="1141"/>
      <c r="MI6" s="1141"/>
      <c r="MJ6" s="1603"/>
      <c r="MK6" s="1603"/>
      <c r="ML6" s="1141"/>
      <c r="MM6" s="1141"/>
      <c r="MN6" s="1141"/>
      <c r="MO6" s="1603"/>
      <c r="MP6" s="1603"/>
      <c r="MQ6" s="1141"/>
      <c r="MR6" s="1141"/>
      <c r="MS6" s="1141"/>
      <c r="MT6" s="1603"/>
      <c r="MU6" s="1603"/>
      <c r="MV6" s="1141"/>
      <c r="MW6" s="1141"/>
      <c r="MX6" s="1141"/>
      <c r="MY6" s="1603"/>
      <c r="MZ6" s="1603"/>
      <c r="NA6" s="1141"/>
      <c r="NB6" s="1141"/>
      <c r="NC6" s="1141"/>
      <c r="ND6" s="1603"/>
      <c r="NE6" s="1603"/>
      <c r="NF6" s="1141"/>
      <c r="NG6" s="1141"/>
      <c r="NH6" s="1141"/>
      <c r="NI6" s="1603"/>
      <c r="NJ6" s="1603"/>
      <c r="NK6" s="1050"/>
      <c r="NL6" s="1050"/>
      <c r="NM6" s="1050"/>
      <c r="NN6" s="1050"/>
      <c r="NO6" s="1050"/>
      <c r="NP6" s="1050"/>
      <c r="NQ6" s="1151"/>
      <c r="NR6" s="1151"/>
      <c r="NS6" s="1151"/>
      <c r="NT6" s="1474"/>
      <c r="NU6" s="1455"/>
      <c r="NV6" s="1243"/>
      <c r="NW6" s="1243"/>
      <c r="NX6" s="1151"/>
      <c r="NY6" s="1151"/>
      <c r="NZ6" s="1151"/>
      <c r="OA6" s="1474"/>
      <c r="OB6" s="1455"/>
      <c r="OC6" s="1243"/>
      <c r="OD6" s="1243"/>
      <c r="OE6" s="1141"/>
      <c r="OF6" s="1141"/>
      <c r="OG6" s="1141"/>
      <c r="OH6" s="1151"/>
      <c r="OI6" s="1151"/>
      <c r="OJ6" s="1141"/>
      <c r="OK6" s="1141"/>
      <c r="OL6" s="1141"/>
      <c r="OM6" s="1141"/>
      <c r="ON6" s="1141"/>
      <c r="OO6" s="1151"/>
      <c r="OP6" s="1151"/>
      <c r="OQ6" s="1141"/>
      <c r="OR6" s="1141"/>
      <c r="OS6" s="1141"/>
      <c r="OT6" s="1141"/>
      <c r="OU6" s="1141"/>
      <c r="OV6" s="1151"/>
      <c r="OW6" s="1151"/>
      <c r="OX6" s="1141"/>
      <c r="OY6" s="1141"/>
      <c r="OZ6" s="1141"/>
      <c r="PA6" s="1141"/>
      <c r="PB6" s="1141"/>
      <c r="PC6" s="1151"/>
      <c r="PD6" s="1151"/>
      <c r="PE6" s="1141"/>
      <c r="PF6" s="1141"/>
      <c r="PG6" s="1141"/>
      <c r="PH6" s="1141"/>
      <c r="PI6" s="1141"/>
      <c r="PJ6" s="1151"/>
      <c r="PK6" s="1151"/>
      <c r="PL6" s="1141"/>
      <c r="PM6" s="1141"/>
      <c r="PN6" s="1141"/>
      <c r="PO6" s="1141"/>
      <c r="PP6" s="1141"/>
      <c r="PQ6" s="1151"/>
      <c r="PR6" s="1151"/>
      <c r="PS6" s="1141"/>
      <c r="PT6" s="1141"/>
      <c r="PU6" s="1574"/>
      <c r="PV6" s="1574"/>
      <c r="PW6" s="1574"/>
      <c r="PX6" s="1574"/>
      <c r="PY6" s="1574"/>
      <c r="PZ6" s="1574"/>
      <c r="QA6" s="1574"/>
      <c r="QB6" s="1574"/>
      <c r="QC6" s="1574"/>
      <c r="QD6" s="1574"/>
      <c r="QE6" s="1574"/>
      <c r="QF6" s="1574"/>
      <c r="QG6" s="1574"/>
      <c r="QH6" s="1574"/>
      <c r="QI6" s="1574"/>
      <c r="QJ6" s="1574"/>
      <c r="QK6" s="1574"/>
      <c r="QL6" s="1574"/>
      <c r="QM6" s="1574"/>
      <c r="QN6" s="1574"/>
      <c r="QO6" s="1574"/>
      <c r="QP6" s="1574"/>
      <c r="QQ6" s="1574"/>
      <c r="QR6" s="1574"/>
      <c r="QS6" s="1050"/>
      <c r="QT6" s="1050"/>
      <c r="QU6" s="1050"/>
      <c r="QV6" s="1050"/>
      <c r="QW6" s="1050"/>
      <c r="QX6" s="1050"/>
      <c r="QY6" s="1050"/>
      <c r="QZ6" s="1050"/>
      <c r="RA6" s="1050"/>
      <c r="RB6" s="1050"/>
      <c r="RC6" s="1050"/>
      <c r="RD6" s="1050"/>
      <c r="RE6" s="1050"/>
      <c r="RF6" s="1050"/>
      <c r="RG6" s="1050"/>
      <c r="RH6" s="1050"/>
      <c r="RI6" s="1050"/>
      <c r="RJ6" s="1050"/>
      <c r="RK6" s="1050"/>
      <c r="RL6" s="1050"/>
      <c r="RM6" s="1050"/>
      <c r="RN6" s="1050"/>
      <c r="RO6" s="1050"/>
      <c r="RP6" s="1050"/>
      <c r="RQ6" s="1050"/>
      <c r="RR6" s="1050"/>
      <c r="RS6" s="1050"/>
      <c r="RT6" s="1050"/>
      <c r="RU6" s="1050"/>
      <c r="RV6" s="1050"/>
      <c r="RW6" s="1256"/>
      <c r="RX6" s="1256"/>
      <c r="RY6" s="1256"/>
      <c r="RZ6" s="1256"/>
      <c r="SA6" s="1256"/>
      <c r="SB6" s="1256"/>
      <c r="SC6" s="1267"/>
      <c r="SD6" s="1267"/>
      <c r="SE6" s="1050"/>
      <c r="SF6" s="1050"/>
      <c r="SG6" s="1050"/>
      <c r="SH6" s="1050"/>
      <c r="SI6" s="1050"/>
      <c r="SJ6" s="1050"/>
      <c r="SK6" s="1050"/>
      <c r="SL6" s="1050"/>
      <c r="SM6" s="1413"/>
      <c r="SN6" s="1413"/>
      <c r="SO6" s="1413"/>
      <c r="SP6" s="1413"/>
      <c r="SQ6" s="1413"/>
      <c r="SR6" s="1413"/>
      <c r="SS6" s="1583"/>
      <c r="ST6" s="1583"/>
      <c r="SU6" s="1622"/>
      <c r="SV6" s="1583"/>
      <c r="SW6" s="1583"/>
      <c r="SX6" s="1622"/>
      <c r="SY6" s="1050"/>
      <c r="SZ6" s="1050"/>
      <c r="TA6" s="1050"/>
      <c r="TB6" s="1050"/>
      <c r="TC6" s="1050"/>
      <c r="TD6" s="1050"/>
      <c r="TE6" s="1050"/>
      <c r="TF6" s="1050"/>
      <c r="TG6" s="1050"/>
      <c r="TH6" s="1050"/>
      <c r="TI6" s="1050"/>
      <c r="TJ6" s="1050"/>
      <c r="TK6" s="1283"/>
      <c r="TL6" s="1283"/>
      <c r="TM6" s="1283"/>
      <c r="TN6" s="1283"/>
      <c r="TO6" s="1283"/>
      <c r="TP6" s="1283"/>
      <c r="TQ6" s="1283"/>
      <c r="TR6" s="1283"/>
      <c r="TS6" s="1283"/>
      <c r="TT6" s="1283"/>
      <c r="TU6" s="1283"/>
      <c r="TV6" s="1283"/>
      <c r="TW6" s="1283"/>
      <c r="TX6" s="1283"/>
      <c r="TY6" s="1283"/>
      <c r="TZ6" s="1283"/>
      <c r="UA6" s="1130"/>
      <c r="UB6" s="1130"/>
      <c r="UC6" s="1130"/>
      <c r="UD6" s="1130"/>
      <c r="UE6" s="1130"/>
      <c r="UF6" s="1130"/>
      <c r="UG6" s="1130"/>
      <c r="UH6" s="1130"/>
      <c r="UI6" s="1130"/>
      <c r="UJ6" s="1619"/>
      <c r="UK6" s="1130"/>
      <c r="UL6" s="1130"/>
      <c r="UM6" s="1130"/>
      <c r="UN6" s="1619"/>
      <c r="UO6" s="1050"/>
      <c r="UP6" s="1582"/>
      <c r="UQ6" s="1582"/>
      <c r="UR6" s="1487"/>
      <c r="US6" s="1050"/>
      <c r="UT6" s="1589"/>
      <c r="UU6" s="1536"/>
      <c r="UV6" s="1050"/>
      <c r="UW6" s="1582"/>
      <c r="UX6" s="1582"/>
      <c r="UY6" s="1487"/>
      <c r="UZ6" s="1050"/>
      <c r="VA6" s="1589"/>
      <c r="VB6" s="1536"/>
      <c r="VC6" s="1050"/>
      <c r="VD6" s="1050"/>
      <c r="VE6" s="1485"/>
      <c r="VF6" s="1050"/>
      <c r="VG6" s="1050"/>
      <c r="VH6" s="1485"/>
      <c r="VI6" s="1050"/>
      <c r="VJ6" s="1050"/>
      <c r="VK6" s="1485"/>
      <c r="VL6" s="1050"/>
      <c r="VM6" s="1050"/>
      <c r="VN6" s="1485"/>
      <c r="VO6" s="1050"/>
      <c r="VP6" s="1050"/>
      <c r="VQ6" s="1485"/>
      <c r="VR6" s="1050"/>
      <c r="VS6" s="1049"/>
      <c r="VT6" s="1485"/>
      <c r="VU6" s="1019"/>
      <c r="VV6" s="1019"/>
      <c r="VW6" s="1019"/>
      <c r="VX6" s="1019"/>
      <c r="VY6" s="1019"/>
      <c r="VZ6" s="1019"/>
      <c r="WA6" s="1019"/>
      <c r="WB6" s="1019"/>
      <c r="WC6" s="1019"/>
      <c r="WD6" s="1019"/>
      <c r="WE6" s="1019"/>
      <c r="WF6" s="1019"/>
      <c r="WG6" s="1019"/>
      <c r="WH6" s="1019"/>
      <c r="WI6" s="1019"/>
      <c r="WJ6" s="1019"/>
      <c r="WK6" s="1019"/>
      <c r="WL6" s="1020"/>
      <c r="WO6" s="72"/>
    </row>
    <row r="7" spans="1:613" ht="75.75" customHeight="1" thickBot="1" x14ac:dyDescent="0.25">
      <c r="A7" s="1683"/>
      <c r="B7" s="1669"/>
      <c r="C7" s="1734"/>
      <c r="D7" s="1667" t="s">
        <v>648</v>
      </c>
      <c r="E7" s="1677"/>
      <c r="F7" s="1677"/>
      <c r="G7" s="1677"/>
      <c r="H7" s="1677"/>
      <c r="I7" s="1677"/>
      <c r="J7" s="1677"/>
      <c r="K7" s="1677"/>
      <c r="L7" s="1677"/>
      <c r="M7" s="1677"/>
      <c r="N7" s="1677"/>
      <c r="O7" s="1677"/>
      <c r="P7" s="1677"/>
      <c r="Q7" s="1677"/>
      <c r="R7" s="1677"/>
      <c r="S7" s="1677"/>
      <c r="T7" s="1677"/>
      <c r="U7" s="1677"/>
      <c r="V7" s="1677"/>
      <c r="W7" s="1677"/>
      <c r="X7" s="1677"/>
      <c r="Y7" s="1677"/>
      <c r="Z7" s="1677"/>
      <c r="AA7" s="1677"/>
      <c r="AB7" s="1677"/>
      <c r="AC7" s="1677"/>
      <c r="AD7" s="1677"/>
      <c r="AE7" s="1677"/>
      <c r="AF7" s="1677"/>
      <c r="AG7" s="1677"/>
      <c r="AH7" s="1677"/>
      <c r="AI7" s="1653" t="s">
        <v>641</v>
      </c>
      <c r="AJ7" s="1654"/>
      <c r="AK7" s="1654"/>
      <c r="AL7" s="1654"/>
      <c r="AM7" s="1654"/>
      <c r="AN7" s="1654"/>
      <c r="AO7" s="1654"/>
      <c r="AP7" s="1654"/>
      <c r="AQ7" s="1654"/>
      <c r="AR7" s="1654"/>
      <c r="AS7" s="1654"/>
      <c r="AT7" s="1654"/>
      <c r="AU7" s="1654"/>
      <c r="AV7" s="1654"/>
      <c r="AW7" s="1654"/>
      <c r="AX7" s="1654"/>
      <c r="AY7" s="1654"/>
      <c r="AZ7" s="1654"/>
      <c r="BA7" s="1654"/>
      <c r="BB7" s="1654"/>
      <c r="BC7" s="1654"/>
      <c r="BD7" s="1654"/>
      <c r="BE7" s="1654"/>
      <c r="BF7" s="1654"/>
      <c r="BG7" s="1654"/>
      <c r="BH7" s="1654"/>
      <c r="BI7" s="1654"/>
      <c r="BJ7" s="1654"/>
      <c r="BK7" s="1654"/>
      <c r="BL7" s="1654"/>
      <c r="BM7" s="1654"/>
      <c r="BN7" s="1654"/>
      <c r="BO7" s="1654"/>
      <c r="BP7" s="1654"/>
      <c r="BQ7" s="1654"/>
      <c r="BR7" s="1654"/>
      <c r="BS7" s="1654"/>
      <c r="BT7" s="1654"/>
      <c r="BU7" s="1654"/>
      <c r="BV7" s="1654"/>
      <c r="BW7" s="1654"/>
      <c r="BX7" s="1654"/>
      <c r="BY7" s="1654"/>
      <c r="BZ7" s="1654"/>
      <c r="CA7" s="1654"/>
      <c r="CB7" s="1654"/>
      <c r="CC7" s="1654"/>
      <c r="CD7" s="1654"/>
      <c r="CE7" s="1654"/>
      <c r="CF7" s="1654"/>
      <c r="CG7" s="1654"/>
      <c r="CH7" s="1654"/>
      <c r="CI7" s="1654"/>
      <c r="CJ7" s="1654"/>
      <c r="CK7" s="1654"/>
      <c r="CL7" s="1654"/>
      <c r="CM7" s="1654"/>
      <c r="CN7" s="1654"/>
      <c r="CO7" s="1654"/>
      <c r="CP7" s="1654"/>
      <c r="CQ7" s="1654"/>
      <c r="CR7" s="1654"/>
      <c r="CS7" s="1654"/>
      <c r="CT7" s="1654"/>
      <c r="CU7" s="1654"/>
      <c r="CV7" s="1654"/>
      <c r="CW7" s="1654"/>
      <c r="CX7" s="1654"/>
      <c r="CY7" s="1654"/>
      <c r="CZ7" s="1654"/>
      <c r="DA7" s="1654"/>
      <c r="DB7" s="1654"/>
      <c r="DC7" s="1654"/>
      <c r="DD7" s="1654"/>
      <c r="DE7" s="1654"/>
      <c r="DF7" s="1654"/>
      <c r="DG7" s="1654"/>
      <c r="DH7" s="1654"/>
      <c r="DI7" s="1654"/>
      <c r="DJ7" s="1654"/>
      <c r="DK7" s="1654"/>
      <c r="DL7" s="1654"/>
      <c r="DM7" s="1654"/>
      <c r="DN7" s="1654"/>
      <c r="DO7" s="1654"/>
      <c r="DP7" s="1654"/>
      <c r="DQ7" s="1654"/>
      <c r="DR7" s="1654"/>
      <c r="DS7" s="1654"/>
      <c r="DT7" s="1654"/>
      <c r="DU7" s="1654"/>
      <c r="DV7" s="1654"/>
      <c r="DW7" s="1654"/>
      <c r="DX7" s="1654"/>
      <c r="DY7" s="1654"/>
      <c r="DZ7" s="1654"/>
      <c r="EA7" s="1654"/>
      <c r="EB7" s="1654"/>
      <c r="EC7" s="1654"/>
      <c r="ED7" s="1654"/>
      <c r="EE7" s="1654"/>
      <c r="EF7" s="1654"/>
      <c r="EG7" s="1654"/>
      <c r="EH7" s="1654"/>
      <c r="EI7" s="1654"/>
      <c r="EJ7" s="1654"/>
      <c r="EK7" s="1654"/>
      <c r="EL7" s="1654"/>
      <c r="EM7" s="1654"/>
      <c r="EN7" s="1654"/>
      <c r="EO7" s="1654"/>
      <c r="EP7" s="1654"/>
      <c r="EQ7" s="1654"/>
      <c r="ER7" s="1654"/>
      <c r="ES7" s="1654"/>
      <c r="ET7" s="1654"/>
      <c r="EU7" s="1654"/>
      <c r="EV7" s="1654"/>
      <c r="EW7" s="1654"/>
      <c r="EX7" s="1654"/>
      <c r="EY7" s="1654"/>
      <c r="EZ7" s="1654"/>
      <c r="FA7" s="1654"/>
      <c r="FB7" s="1654"/>
      <c r="FC7" s="1654"/>
      <c r="FD7" s="1654"/>
      <c r="FE7" s="1654"/>
      <c r="FF7" s="1654"/>
      <c r="FG7" s="1654"/>
      <c r="FH7" s="1654"/>
      <c r="FI7" s="1654"/>
      <c r="FJ7" s="1654"/>
      <c r="FK7" s="1654"/>
      <c r="FL7" s="1654"/>
      <c r="FM7" s="1654"/>
      <c r="FN7" s="1654"/>
      <c r="FO7" s="1654"/>
      <c r="FP7" s="1654"/>
      <c r="FQ7" s="1654"/>
      <c r="FR7" s="1654"/>
      <c r="FS7" s="1654"/>
      <c r="FT7" s="1654"/>
      <c r="FU7" s="1654"/>
      <c r="FV7" s="1654"/>
      <c r="FW7" s="1654"/>
      <c r="FX7" s="1654"/>
      <c r="FY7" s="1654"/>
      <c r="FZ7" s="1654"/>
      <c r="GA7" s="1654"/>
      <c r="GB7" s="1654"/>
      <c r="GC7" s="1654"/>
      <c r="GD7" s="1654"/>
      <c r="GE7" s="1654"/>
      <c r="GF7" s="1654"/>
      <c r="GG7" s="1654"/>
      <c r="GH7" s="1654"/>
      <c r="GI7" s="1654"/>
      <c r="GJ7" s="1654"/>
      <c r="GK7" s="1654"/>
      <c r="GL7" s="1654"/>
      <c r="GM7" s="1654"/>
      <c r="GN7" s="1654"/>
      <c r="GO7" s="1654"/>
      <c r="GP7" s="1654"/>
      <c r="GQ7" s="1654"/>
      <c r="GR7" s="1654"/>
      <c r="GS7" s="1654"/>
      <c r="GT7" s="1654"/>
      <c r="GU7" s="1654"/>
      <c r="GV7" s="1654"/>
      <c r="GW7" s="1654"/>
      <c r="GX7" s="1654"/>
      <c r="GY7" s="1654"/>
      <c r="GZ7" s="1654"/>
      <c r="HA7" s="1654"/>
      <c r="HB7" s="1654"/>
      <c r="HC7" s="1654"/>
      <c r="HD7" s="1654"/>
      <c r="HE7" s="1654"/>
      <c r="HF7" s="1654"/>
      <c r="HG7" s="1654"/>
      <c r="HH7" s="1654"/>
      <c r="HI7" s="1654"/>
      <c r="HJ7" s="1654"/>
      <c r="HK7" s="1654"/>
      <c r="HL7" s="1654"/>
      <c r="HM7" s="1654"/>
      <c r="HN7" s="1654"/>
      <c r="HO7" s="1654"/>
      <c r="HP7" s="1654"/>
      <c r="HQ7" s="1654"/>
      <c r="HR7" s="1654"/>
      <c r="HS7" s="1654"/>
      <c r="HT7" s="1654"/>
      <c r="HU7" s="1654"/>
      <c r="HV7" s="1654"/>
      <c r="HW7" s="1654"/>
      <c r="HX7" s="1654"/>
      <c r="HY7" s="1654"/>
      <c r="HZ7" s="1654"/>
      <c r="IA7" s="1654"/>
      <c r="IB7" s="1654"/>
      <c r="IC7" s="1654"/>
      <c r="ID7" s="1654"/>
      <c r="IE7" s="1654"/>
      <c r="IF7" s="1654"/>
      <c r="IG7" s="1654"/>
      <c r="IH7" s="1654"/>
      <c r="II7" s="1654"/>
      <c r="IJ7" s="1654"/>
      <c r="IK7" s="1654"/>
      <c r="IL7" s="1654"/>
      <c r="IM7" s="1654"/>
      <c r="IN7" s="1654"/>
      <c r="IO7" s="1654"/>
      <c r="IP7" s="1654"/>
      <c r="IQ7" s="1654"/>
      <c r="IR7" s="1654"/>
      <c r="IS7" s="1654"/>
      <c r="IT7" s="1654"/>
      <c r="IU7" s="1654"/>
      <c r="IV7" s="1654"/>
      <c r="IW7" s="1654"/>
      <c r="IX7" s="1654"/>
      <c r="IY7" s="1654"/>
      <c r="IZ7" s="1654"/>
      <c r="JA7" s="1654"/>
      <c r="JB7" s="1654"/>
      <c r="JC7" s="1654"/>
      <c r="JD7" s="1654"/>
      <c r="JE7" s="1654"/>
      <c r="JF7" s="1654"/>
      <c r="JG7" s="1654"/>
      <c r="JH7" s="1654"/>
      <c r="JI7" s="1654"/>
      <c r="JJ7" s="1654"/>
      <c r="JK7" s="1654"/>
      <c r="JL7" s="1654"/>
      <c r="JM7" s="1654"/>
      <c r="JN7" s="1654"/>
      <c r="JO7" s="1654"/>
      <c r="JP7" s="1654"/>
      <c r="JQ7" s="1654"/>
      <c r="JR7" s="1654"/>
      <c r="JS7" s="1654"/>
      <c r="JT7" s="1654"/>
      <c r="JU7" s="1654"/>
      <c r="JV7" s="1654"/>
      <c r="JW7" s="1654"/>
      <c r="JX7" s="1654"/>
      <c r="JY7" s="1654"/>
      <c r="JZ7" s="1654"/>
      <c r="KA7" s="1654"/>
      <c r="KB7" s="1654"/>
      <c r="KC7" s="1654"/>
      <c r="KD7" s="1654"/>
      <c r="KE7" s="1654"/>
      <c r="KF7" s="1654"/>
      <c r="KG7" s="1654"/>
      <c r="KH7" s="1654"/>
      <c r="KI7" s="1654"/>
      <c r="KJ7" s="1654"/>
      <c r="KK7" s="1654"/>
      <c r="KL7" s="1654"/>
      <c r="KM7" s="1654"/>
      <c r="KN7" s="1654"/>
      <c r="KO7" s="1654"/>
      <c r="KP7" s="1654"/>
      <c r="KQ7" s="1654"/>
      <c r="KR7" s="1654"/>
      <c r="KS7" s="1654"/>
      <c r="KT7" s="1654"/>
      <c r="KU7" s="1654"/>
      <c r="KV7" s="1654"/>
      <c r="KW7" s="1654"/>
      <c r="KX7" s="1654"/>
      <c r="KY7" s="1654"/>
      <c r="KZ7" s="1654"/>
      <c r="LA7" s="1654"/>
      <c r="LB7" s="1654"/>
      <c r="LC7" s="1654"/>
      <c r="LD7" s="1654"/>
      <c r="LE7" s="1654"/>
      <c r="LF7" s="1654"/>
      <c r="LG7" s="1654"/>
      <c r="LH7" s="1654"/>
      <c r="LI7" s="1654"/>
      <c r="LJ7" s="1654"/>
      <c r="LK7" s="1654"/>
      <c r="LL7" s="1654"/>
      <c r="LM7" s="1654"/>
      <c r="LN7" s="1654"/>
      <c r="LO7" s="1654"/>
      <c r="LP7" s="1654"/>
      <c r="LQ7" s="1654"/>
      <c r="LR7" s="1654"/>
      <c r="LS7" s="1654"/>
      <c r="LT7" s="1654"/>
      <c r="LU7" s="1654"/>
      <c r="LV7" s="1654"/>
      <c r="LW7" s="1654"/>
      <c r="LX7" s="1654"/>
      <c r="LY7" s="1654"/>
      <c r="LZ7" s="1654"/>
      <c r="MA7" s="1654"/>
      <c r="MB7" s="1654"/>
      <c r="MC7" s="1654"/>
      <c r="MD7" s="1654"/>
      <c r="ME7" s="1654"/>
      <c r="MF7" s="1654"/>
      <c r="MG7" s="1654"/>
      <c r="MH7" s="1654"/>
      <c r="MI7" s="1654"/>
      <c r="MJ7" s="1654"/>
      <c r="MK7" s="1654"/>
      <c r="ML7" s="1654"/>
      <c r="MM7" s="1654"/>
      <c r="MN7" s="1654"/>
      <c r="MO7" s="1654"/>
      <c r="MP7" s="1654"/>
      <c r="MQ7" s="1654"/>
      <c r="MR7" s="1654"/>
      <c r="MS7" s="1654"/>
      <c r="MT7" s="1654"/>
      <c r="MU7" s="1654"/>
      <c r="MV7" s="1654"/>
      <c r="MW7" s="1654"/>
      <c r="MX7" s="1654"/>
      <c r="MY7" s="1654"/>
      <c r="MZ7" s="1654"/>
      <c r="NA7" s="1654"/>
      <c r="NB7" s="1654"/>
      <c r="NC7" s="1654"/>
      <c r="ND7" s="1654"/>
      <c r="NE7" s="1654"/>
      <c r="NF7" s="1654"/>
      <c r="NG7" s="1654"/>
      <c r="NH7" s="1654"/>
      <c r="NI7" s="1654"/>
      <c r="NJ7" s="1654"/>
      <c r="NK7" s="1654"/>
      <c r="NL7" s="1654"/>
      <c r="NM7" s="1654"/>
      <c r="NN7" s="1654"/>
      <c r="NO7" s="1654"/>
      <c r="NP7" s="1654"/>
      <c r="NQ7" s="1654"/>
      <c r="NR7" s="1654"/>
      <c r="NS7" s="1654"/>
      <c r="NT7" s="1654"/>
      <c r="NU7" s="1654"/>
      <c r="NV7" s="1654"/>
      <c r="NW7" s="1654"/>
      <c r="NX7" s="1654"/>
      <c r="NY7" s="1654"/>
      <c r="NZ7" s="1654"/>
      <c r="OA7" s="1654"/>
      <c r="OB7" s="1654"/>
      <c r="OC7" s="1654"/>
      <c r="OD7" s="1654"/>
      <c r="OE7" s="1654"/>
      <c r="OF7" s="1654"/>
      <c r="OG7" s="1654"/>
      <c r="OH7" s="1654"/>
      <c r="OI7" s="1654"/>
      <c r="OJ7" s="1654"/>
      <c r="OK7" s="1654"/>
      <c r="OL7" s="1654"/>
      <c r="OM7" s="1654"/>
      <c r="ON7" s="1654"/>
      <c r="OO7" s="1654"/>
      <c r="OP7" s="1654"/>
      <c r="OQ7" s="1654"/>
      <c r="OR7" s="1654"/>
      <c r="OS7" s="1654"/>
      <c r="OT7" s="1654"/>
      <c r="OU7" s="1654"/>
      <c r="OV7" s="1654"/>
      <c r="OW7" s="1654"/>
      <c r="OX7" s="1654"/>
      <c r="OY7" s="1654"/>
      <c r="OZ7" s="1654"/>
      <c r="PA7" s="1654"/>
      <c r="PB7" s="1654"/>
      <c r="PC7" s="1654"/>
      <c r="PD7" s="1654"/>
      <c r="PE7" s="1654"/>
      <c r="PF7" s="1654"/>
      <c r="PG7" s="1654"/>
      <c r="PH7" s="1654"/>
      <c r="PI7" s="1654"/>
      <c r="PJ7" s="1654"/>
      <c r="PK7" s="1654"/>
      <c r="PL7" s="1654"/>
      <c r="PM7" s="1654"/>
      <c r="PN7" s="1654"/>
      <c r="PO7" s="1654"/>
      <c r="PP7" s="1654"/>
      <c r="PQ7" s="1654"/>
      <c r="PR7" s="1654"/>
      <c r="PS7" s="1654"/>
      <c r="PT7" s="1654"/>
      <c r="PU7" s="1654"/>
      <c r="PV7" s="1654"/>
      <c r="PW7" s="1654"/>
      <c r="PX7" s="1654"/>
      <c r="PY7" s="1654"/>
      <c r="PZ7" s="1654"/>
      <c r="QA7" s="1654"/>
      <c r="QB7" s="1654"/>
      <c r="QC7" s="1654"/>
      <c r="QD7" s="1654"/>
      <c r="QE7" s="1654"/>
      <c r="QF7" s="1654"/>
      <c r="QG7" s="1654"/>
      <c r="QH7" s="1654"/>
      <c r="QI7" s="1654"/>
      <c r="QJ7" s="1654"/>
      <c r="QK7" s="1654"/>
      <c r="QL7" s="1654"/>
      <c r="QM7" s="1654"/>
      <c r="QN7" s="1654"/>
      <c r="QO7" s="1654"/>
      <c r="QP7" s="1654"/>
      <c r="QQ7" s="1654"/>
      <c r="QR7" s="1654"/>
      <c r="QS7" s="1654"/>
      <c r="QT7" s="1654"/>
      <c r="QU7" s="1654"/>
      <c r="QV7" s="1654"/>
      <c r="QW7" s="1654"/>
      <c r="QX7" s="1654"/>
      <c r="QY7" s="1654"/>
      <c r="QZ7" s="1655"/>
      <c r="RA7" s="1667" t="s">
        <v>364</v>
      </c>
      <c r="RB7" s="1677"/>
      <c r="RC7" s="1677"/>
      <c r="RD7" s="1677"/>
      <c r="RE7" s="1677"/>
      <c r="RF7" s="1677"/>
      <c r="RG7" s="1677"/>
      <c r="RH7" s="1677"/>
      <c r="RI7" s="1677"/>
      <c r="RJ7" s="1677"/>
      <c r="RK7" s="1677"/>
      <c r="RL7" s="1677"/>
      <c r="RM7" s="1677"/>
      <c r="RN7" s="1677"/>
      <c r="RO7" s="1677"/>
      <c r="RP7" s="1677"/>
      <c r="RQ7" s="1677"/>
      <c r="RR7" s="1677"/>
      <c r="RS7" s="1677"/>
      <c r="RT7" s="1677"/>
      <c r="RU7" s="1677"/>
      <c r="RV7" s="1677"/>
      <c r="RW7" s="1677"/>
      <c r="RX7" s="1677"/>
      <c r="RY7" s="1677"/>
      <c r="RZ7" s="1677"/>
      <c r="SA7" s="1677"/>
      <c r="SB7" s="1677"/>
      <c r="SC7" s="1677"/>
      <c r="SD7" s="1677"/>
      <c r="SE7" s="1677"/>
      <c r="SF7" s="1677"/>
      <c r="SG7" s="1677"/>
      <c r="SH7" s="1677"/>
      <c r="SI7" s="1677"/>
      <c r="SJ7" s="1677"/>
      <c r="SK7" s="1708" t="s">
        <v>365</v>
      </c>
      <c r="SL7" s="1709"/>
      <c r="SM7" s="1709"/>
      <c r="SN7" s="1709"/>
      <c r="SO7" s="1709"/>
      <c r="SP7" s="1709"/>
      <c r="SQ7" s="1709"/>
      <c r="SR7" s="1709"/>
      <c r="SS7" s="1709"/>
      <c r="ST7" s="1709"/>
      <c r="SU7" s="1709"/>
      <c r="SV7" s="1709"/>
      <c r="SW7" s="1709"/>
      <c r="SX7" s="1709"/>
      <c r="SY7" s="1709"/>
      <c r="SZ7" s="1709"/>
      <c r="TA7" s="1709"/>
      <c r="TB7" s="1709"/>
      <c r="TC7" s="1709"/>
      <c r="TD7" s="1709"/>
      <c r="TE7" s="1709"/>
      <c r="TF7" s="1709"/>
      <c r="TG7" s="1709"/>
      <c r="TH7" s="1709"/>
      <c r="TI7" s="1709"/>
      <c r="TJ7" s="1709"/>
      <c r="TK7" s="1709"/>
      <c r="TL7" s="1709"/>
      <c r="TM7" s="1709"/>
      <c r="TN7" s="1709"/>
      <c r="TO7" s="1709"/>
      <c r="TP7" s="1709"/>
      <c r="TQ7" s="1709"/>
      <c r="TR7" s="1709"/>
      <c r="TS7" s="1709"/>
      <c r="TT7" s="1709"/>
      <c r="TU7" s="1709"/>
      <c r="TV7" s="1709"/>
      <c r="TW7" s="1709"/>
      <c r="TX7" s="1709"/>
      <c r="TY7" s="1709"/>
      <c r="TZ7" s="1709"/>
      <c r="UA7" s="1709"/>
      <c r="UB7" s="1709"/>
      <c r="UC7" s="1709"/>
      <c r="UD7" s="1709"/>
      <c r="UE7" s="1709"/>
      <c r="UF7" s="1709"/>
      <c r="UG7" s="1709"/>
      <c r="UH7" s="1709"/>
      <c r="UI7" s="1709"/>
      <c r="UJ7" s="1709"/>
      <c r="UK7" s="1709"/>
      <c r="UL7" s="1709"/>
      <c r="UM7" s="1709"/>
      <c r="UN7" s="1709"/>
      <c r="UO7" s="1709"/>
      <c r="UP7" s="1709"/>
      <c r="UQ7" s="1709"/>
      <c r="UR7" s="1709"/>
      <c r="US7" s="1709"/>
      <c r="UT7" s="1709"/>
      <c r="UU7" s="1709"/>
      <c r="UV7" s="1709"/>
      <c r="UW7" s="1709"/>
      <c r="UX7" s="1709"/>
      <c r="UY7" s="1709"/>
      <c r="UZ7" s="1709"/>
      <c r="VA7" s="1709"/>
      <c r="VB7" s="1709"/>
      <c r="VC7" s="1709"/>
      <c r="VD7" s="1709"/>
      <c r="VE7" s="1709"/>
      <c r="VF7" s="1709"/>
      <c r="VG7" s="1709"/>
      <c r="VH7" s="1709"/>
      <c r="VI7" s="1709"/>
      <c r="VJ7" s="1709"/>
      <c r="VK7" s="1709"/>
      <c r="VL7" s="1709"/>
      <c r="VM7" s="1709"/>
      <c r="VN7" s="1709"/>
      <c r="VO7" s="1709"/>
      <c r="VP7" s="1709"/>
      <c r="VQ7" s="1709"/>
      <c r="VR7" s="1709"/>
      <c r="VS7" s="1710"/>
      <c r="VT7" s="1489"/>
      <c r="VU7" s="1682" t="s">
        <v>16</v>
      </c>
      <c r="VV7" s="1682" t="s">
        <v>17</v>
      </c>
      <c r="VW7" s="1725" t="s">
        <v>153</v>
      </c>
      <c r="VX7" s="1726"/>
      <c r="VY7" s="1726"/>
      <c r="VZ7" s="1726"/>
      <c r="WA7" s="1726"/>
      <c r="WB7" s="1726"/>
      <c r="WC7" s="1726"/>
      <c r="WD7" s="1727"/>
      <c r="WE7" s="1698" t="s">
        <v>154</v>
      </c>
      <c r="WF7" s="1699"/>
      <c r="WG7" s="1699"/>
      <c r="WH7" s="1699"/>
      <c r="WI7" s="1699"/>
      <c r="WJ7" s="1699"/>
      <c r="WK7" s="1699"/>
      <c r="WL7" s="1700"/>
      <c r="WO7" s="72"/>
    </row>
    <row r="8" spans="1:613" ht="177" customHeight="1" thickBot="1" x14ac:dyDescent="0.25">
      <c r="A8" s="1683"/>
      <c r="B8" s="1667"/>
      <c r="C8" s="1668"/>
      <c r="D8" s="1682" t="s">
        <v>16</v>
      </c>
      <c r="E8" s="1682" t="s">
        <v>17</v>
      </c>
      <c r="F8" s="1696" t="s">
        <v>387</v>
      </c>
      <c r="G8" s="1697"/>
      <c r="H8" s="1697"/>
      <c r="I8" s="1697"/>
      <c r="J8" s="1697"/>
      <c r="K8" s="1697"/>
      <c r="L8" s="1697"/>
      <c r="M8" s="1744"/>
      <c r="N8" s="1735" t="s">
        <v>940</v>
      </c>
      <c r="O8" s="1736"/>
      <c r="P8" s="1736"/>
      <c r="Q8" s="1736"/>
      <c r="R8" s="1736"/>
      <c r="S8" s="1736"/>
      <c r="T8" s="1736"/>
      <c r="U8" s="1736"/>
      <c r="V8" s="1735" t="s">
        <v>597</v>
      </c>
      <c r="W8" s="1736"/>
      <c r="X8" s="1736"/>
      <c r="Y8" s="1736"/>
      <c r="Z8" s="1736"/>
      <c r="AA8" s="1736"/>
      <c r="AB8" s="1736"/>
      <c r="AC8" s="1736"/>
      <c r="AD8" s="1736"/>
      <c r="AE8" s="1736"/>
      <c r="AF8" s="1736"/>
      <c r="AG8" s="1736"/>
      <c r="AH8" s="1737"/>
      <c r="AI8" s="1683" t="s">
        <v>16</v>
      </c>
      <c r="AJ8" s="1683" t="s">
        <v>17</v>
      </c>
      <c r="AK8" s="1653" t="s">
        <v>494</v>
      </c>
      <c r="AL8" s="1654"/>
      <c r="AM8" s="1654"/>
      <c r="AN8" s="1654"/>
      <c r="AO8" s="1654"/>
      <c r="AP8" s="1654"/>
      <c r="AQ8" s="1654"/>
      <c r="AR8" s="1654"/>
      <c r="AS8" s="1654"/>
      <c r="AT8" s="1654"/>
      <c r="AU8" s="1654"/>
      <c r="AV8" s="1654"/>
      <c r="AW8" s="1654"/>
      <c r="AX8" s="1654"/>
      <c r="AY8" s="1654"/>
      <c r="AZ8" s="1654"/>
      <c r="BA8" s="1654"/>
      <c r="BB8" s="1654"/>
      <c r="BC8" s="1654"/>
      <c r="BD8" s="1654"/>
      <c r="BE8" s="1654"/>
      <c r="BF8" s="1654"/>
      <c r="BG8" s="1654"/>
      <c r="BH8" s="1654"/>
      <c r="BI8" s="1654"/>
      <c r="BJ8" s="1654"/>
      <c r="BK8" s="1654"/>
      <c r="BL8" s="1654"/>
      <c r="BM8" s="1654"/>
      <c r="BN8" s="1654"/>
      <c r="BO8" s="1654"/>
      <c r="BP8" s="1654"/>
      <c r="BQ8" s="1654"/>
      <c r="BR8" s="1654"/>
      <c r="BS8" s="1654"/>
      <c r="BT8" s="1654"/>
      <c r="BU8" s="1653" t="s">
        <v>382</v>
      </c>
      <c r="BV8" s="1654"/>
      <c r="BW8" s="1654"/>
      <c r="BX8" s="1654"/>
      <c r="BY8" s="1654"/>
      <c r="BZ8" s="1654"/>
      <c r="CA8" s="1654"/>
      <c r="CB8" s="1654"/>
      <c r="CC8" s="1654"/>
      <c r="CD8" s="1654"/>
      <c r="CE8" s="1654"/>
      <c r="CF8" s="1654"/>
      <c r="CG8" s="1654"/>
      <c r="CH8" s="1654"/>
      <c r="CI8" s="1654"/>
      <c r="CJ8" s="1654"/>
      <c r="CK8" s="1654"/>
      <c r="CL8" s="1654"/>
      <c r="CM8" s="1654"/>
      <c r="CN8" s="1654"/>
      <c r="CO8" s="1654"/>
      <c r="CP8" s="1654"/>
      <c r="CQ8" s="1654"/>
      <c r="CR8" s="1655"/>
      <c r="CS8" s="1667" t="s">
        <v>261</v>
      </c>
      <c r="CT8" s="1677"/>
      <c r="CU8" s="1677"/>
      <c r="CV8" s="1677"/>
      <c r="CW8" s="1677"/>
      <c r="CX8" s="1677"/>
      <c r="CY8" s="1677"/>
      <c r="CZ8" s="1677"/>
      <c r="DA8" s="1653" t="s">
        <v>377</v>
      </c>
      <c r="DB8" s="1654"/>
      <c r="DC8" s="1654"/>
      <c r="DD8" s="1654"/>
      <c r="DE8" s="1654"/>
      <c r="DF8" s="1654"/>
      <c r="DG8" s="1654"/>
      <c r="DH8" s="1655"/>
      <c r="DI8" s="1653" t="s">
        <v>535</v>
      </c>
      <c r="DJ8" s="1654"/>
      <c r="DK8" s="1654"/>
      <c r="DL8" s="1654"/>
      <c r="DM8" s="1654"/>
      <c r="DN8" s="1654"/>
      <c r="DO8" s="1654"/>
      <c r="DP8" s="1655"/>
      <c r="DQ8" s="1653" t="s">
        <v>638</v>
      </c>
      <c r="DR8" s="1654"/>
      <c r="DS8" s="1654"/>
      <c r="DT8" s="1654"/>
      <c r="DU8" s="1654"/>
      <c r="DV8" s="1654"/>
      <c r="DW8" s="1654"/>
      <c r="DX8" s="1654"/>
      <c r="DY8" s="1654"/>
      <c r="DZ8" s="1654"/>
      <c r="EA8" s="1654"/>
      <c r="EB8" s="1654"/>
      <c r="EC8" s="1654"/>
      <c r="ED8" s="1654"/>
      <c r="EE8" s="1653" t="s">
        <v>565</v>
      </c>
      <c r="EF8" s="1654"/>
      <c r="EG8" s="1654"/>
      <c r="EH8" s="1654"/>
      <c r="EI8" s="1654"/>
      <c r="EJ8" s="1655"/>
      <c r="EK8" s="1714" t="s">
        <v>424</v>
      </c>
      <c r="EL8" s="1715"/>
      <c r="EM8" s="1715"/>
      <c r="EN8" s="1715"/>
      <c r="EO8" s="1715"/>
      <c r="EP8" s="1715"/>
      <c r="EQ8" s="1715"/>
      <c r="ER8" s="1715"/>
      <c r="ES8" s="1715"/>
      <c r="ET8" s="1715"/>
      <c r="EU8" s="1715"/>
      <c r="EV8" s="1715"/>
      <c r="EW8" s="1715"/>
      <c r="EX8" s="1715"/>
      <c r="EY8" s="1653" t="s">
        <v>449</v>
      </c>
      <c r="EZ8" s="1654"/>
      <c r="FA8" s="1654"/>
      <c r="FB8" s="1654"/>
      <c r="FC8" s="1654"/>
      <c r="FD8" s="1655"/>
      <c r="FE8" s="1653" t="s">
        <v>566</v>
      </c>
      <c r="FF8" s="1654"/>
      <c r="FG8" s="1654"/>
      <c r="FH8" s="1654"/>
      <c r="FI8" s="1654"/>
      <c r="FJ8" s="1655"/>
      <c r="FK8" s="1653" t="s">
        <v>567</v>
      </c>
      <c r="FL8" s="1654"/>
      <c r="FM8" s="1654"/>
      <c r="FN8" s="1654"/>
      <c r="FO8" s="1654"/>
      <c r="FP8" s="1655"/>
      <c r="FQ8" s="1653" t="s">
        <v>692</v>
      </c>
      <c r="FR8" s="1654"/>
      <c r="FS8" s="1654"/>
      <c r="FT8" s="1654"/>
      <c r="FU8" s="1654"/>
      <c r="FV8" s="1654"/>
      <c r="FW8" s="1654"/>
      <c r="FX8" s="1654"/>
      <c r="FY8" s="1654"/>
      <c r="FZ8" s="1654"/>
      <c r="GA8" s="1654"/>
      <c r="GB8" s="1654"/>
      <c r="GC8" s="1654"/>
      <c r="GD8" s="1654"/>
      <c r="GE8" s="1654"/>
      <c r="GF8" s="1655"/>
      <c r="GG8" s="1653" t="s">
        <v>697</v>
      </c>
      <c r="GH8" s="1654"/>
      <c r="GI8" s="1654"/>
      <c r="GJ8" s="1654"/>
      <c r="GK8" s="1654"/>
      <c r="GL8" s="1655"/>
      <c r="GM8" s="1653" t="s">
        <v>673</v>
      </c>
      <c r="GN8" s="1654"/>
      <c r="GO8" s="1654"/>
      <c r="GP8" s="1654"/>
      <c r="GQ8" s="1654"/>
      <c r="GR8" s="1654"/>
      <c r="GS8" s="1654"/>
      <c r="GT8" s="1654"/>
      <c r="GU8" s="1654"/>
      <c r="GV8" s="1654"/>
      <c r="GW8" s="1654"/>
      <c r="GX8" s="1654"/>
      <c r="GY8" s="1654"/>
      <c r="GZ8" s="1654"/>
      <c r="HA8" s="1654"/>
      <c r="HB8" s="1654"/>
      <c r="HC8" s="1654"/>
      <c r="HD8" s="1654"/>
      <c r="HE8" s="1654"/>
      <c r="HF8" s="1654"/>
      <c r="HG8" s="1654"/>
      <c r="HH8" s="1654"/>
      <c r="HI8" s="1654"/>
      <c r="HJ8" s="1655"/>
      <c r="HK8" s="1653" t="s">
        <v>374</v>
      </c>
      <c r="HL8" s="1654"/>
      <c r="HM8" s="1654"/>
      <c r="HN8" s="1654"/>
      <c r="HO8" s="1654"/>
      <c r="HP8" s="1654"/>
      <c r="HQ8" s="1653" t="s">
        <v>630</v>
      </c>
      <c r="HR8" s="1654"/>
      <c r="HS8" s="1654"/>
      <c r="HT8" s="1654"/>
      <c r="HU8" s="1654"/>
      <c r="HV8" s="1654"/>
      <c r="HW8" s="1654"/>
      <c r="HX8" s="1654"/>
      <c r="HY8" s="1654"/>
      <c r="HZ8" s="1654"/>
      <c r="IA8" s="1654"/>
      <c r="IB8" s="1654"/>
      <c r="IC8" s="1654"/>
      <c r="ID8" s="1654"/>
      <c r="IE8" s="1654"/>
      <c r="IF8" s="1654"/>
      <c r="IG8" s="1654"/>
      <c r="IH8" s="1654"/>
      <c r="II8" s="1654"/>
      <c r="IJ8" s="1654"/>
      <c r="IK8" s="1654"/>
      <c r="IL8" s="1654"/>
      <c r="IM8" s="1654"/>
      <c r="IN8" s="1654"/>
      <c r="IO8" s="1654"/>
      <c r="IP8" s="1655"/>
      <c r="IQ8" s="1653" t="s">
        <v>369</v>
      </c>
      <c r="IR8" s="1654"/>
      <c r="IS8" s="1654"/>
      <c r="IT8" s="1654"/>
      <c r="IU8" s="1654"/>
      <c r="IV8" s="1654"/>
      <c r="IW8" s="1654"/>
      <c r="IX8" s="1654"/>
      <c r="IY8" s="1654"/>
      <c r="IZ8" s="1654"/>
      <c r="JA8" s="1654"/>
      <c r="JB8" s="1654"/>
      <c r="JC8" s="1654"/>
      <c r="JD8" s="1654"/>
      <c r="JE8" s="1654"/>
      <c r="JF8" s="1654"/>
      <c r="JG8" s="1654"/>
      <c r="JH8" s="1654"/>
      <c r="JI8" s="1654"/>
      <c r="JJ8" s="1654"/>
      <c r="JK8" s="1654"/>
      <c r="JL8" s="1654"/>
      <c r="JM8" s="1654"/>
      <c r="JN8" s="1654"/>
      <c r="JO8" s="1654"/>
      <c r="JP8" s="1654"/>
      <c r="JQ8" s="1654"/>
      <c r="JR8" s="1654"/>
      <c r="JS8" s="1654"/>
      <c r="JT8" s="1654"/>
      <c r="JU8" s="1654"/>
      <c r="JV8" s="1654"/>
      <c r="JW8" s="1654"/>
      <c r="JX8" s="1654"/>
      <c r="JY8" s="1654"/>
      <c r="JZ8" s="1654"/>
      <c r="KA8" s="1654"/>
      <c r="KB8" s="1654"/>
      <c r="KC8" s="1654"/>
      <c r="KD8" s="1654"/>
      <c r="KE8" s="1654"/>
      <c r="KF8" s="1654"/>
      <c r="KG8" s="1654"/>
      <c r="KH8" s="1654"/>
      <c r="KI8" s="1654"/>
      <c r="KJ8" s="1654"/>
      <c r="KK8" s="1654"/>
      <c r="KL8" s="1654"/>
      <c r="KM8" s="1654"/>
      <c r="KN8" s="1654"/>
      <c r="KO8" s="1653" t="s">
        <v>366</v>
      </c>
      <c r="KP8" s="1654"/>
      <c r="KQ8" s="1654"/>
      <c r="KR8" s="1654"/>
      <c r="KS8" s="1654"/>
      <c r="KT8" s="1654"/>
      <c r="KU8" s="1654"/>
      <c r="KV8" s="1655"/>
      <c r="KW8" s="1653" t="s">
        <v>621</v>
      </c>
      <c r="KX8" s="1654"/>
      <c r="KY8" s="1654"/>
      <c r="KZ8" s="1654"/>
      <c r="LA8" s="1653" t="s">
        <v>615</v>
      </c>
      <c r="LB8" s="1654"/>
      <c r="LC8" s="1654"/>
      <c r="LD8" s="1654"/>
      <c r="LE8" s="1654"/>
      <c r="LF8" s="1654"/>
      <c r="LG8" s="1654"/>
      <c r="LH8" s="1654"/>
      <c r="LI8" s="1654"/>
      <c r="LJ8" s="1654"/>
      <c r="LK8" s="1654"/>
      <c r="LL8" s="1654"/>
      <c r="LM8" s="1654"/>
      <c r="LN8" s="1654"/>
      <c r="LO8" s="1654"/>
      <c r="LP8" s="1654"/>
      <c r="LQ8" s="1654"/>
      <c r="LR8" s="1654"/>
      <c r="LS8" s="1654"/>
      <c r="LT8" s="1654"/>
      <c r="LU8" s="1654"/>
      <c r="LV8" s="1654"/>
      <c r="LW8" s="1654"/>
      <c r="LX8" s="1654"/>
      <c r="LY8" s="1654"/>
      <c r="LZ8" s="1654"/>
      <c r="MA8" s="1654"/>
      <c r="MB8" s="1654"/>
      <c r="MC8" s="1654"/>
      <c r="MD8" s="1654"/>
      <c r="ME8" s="1654"/>
      <c r="MF8" s="1655"/>
      <c r="MG8" s="1653" t="s">
        <v>590</v>
      </c>
      <c r="MH8" s="1654"/>
      <c r="MI8" s="1654"/>
      <c r="MJ8" s="1654"/>
      <c r="MK8" s="1654"/>
      <c r="ML8" s="1654"/>
      <c r="MM8" s="1654"/>
      <c r="MN8" s="1654"/>
      <c r="MO8" s="1654"/>
      <c r="MP8" s="1654"/>
      <c r="MQ8" s="1654"/>
      <c r="MR8" s="1654"/>
      <c r="MS8" s="1654"/>
      <c r="MT8" s="1654"/>
      <c r="MU8" s="1654"/>
      <c r="MV8" s="1654"/>
      <c r="MW8" s="1654"/>
      <c r="MX8" s="1654"/>
      <c r="MY8" s="1654"/>
      <c r="MZ8" s="1654"/>
      <c r="NA8" s="1654"/>
      <c r="NB8" s="1654"/>
      <c r="NC8" s="1654"/>
      <c r="ND8" s="1654"/>
      <c r="NE8" s="1654"/>
      <c r="NF8" s="1654"/>
      <c r="NG8" s="1654"/>
      <c r="NH8" s="1654"/>
      <c r="NI8" s="1654"/>
      <c r="NJ8" s="1655"/>
      <c r="NK8" s="1653" t="s">
        <v>564</v>
      </c>
      <c r="NL8" s="1654"/>
      <c r="NM8" s="1654"/>
      <c r="NN8" s="1654"/>
      <c r="NO8" s="1654"/>
      <c r="NP8" s="1655"/>
      <c r="NQ8" s="1653" t="s">
        <v>587</v>
      </c>
      <c r="NR8" s="1654"/>
      <c r="NS8" s="1654"/>
      <c r="NT8" s="1654"/>
      <c r="NU8" s="1654"/>
      <c r="NV8" s="1654"/>
      <c r="NW8" s="1654"/>
      <c r="NX8" s="1654"/>
      <c r="NY8" s="1654"/>
      <c r="NZ8" s="1654"/>
      <c r="OA8" s="1654"/>
      <c r="OB8" s="1654"/>
      <c r="OC8" s="1654"/>
      <c r="OD8" s="1654"/>
      <c r="OE8" s="1654"/>
      <c r="OF8" s="1654"/>
      <c r="OG8" s="1654"/>
      <c r="OH8" s="1654"/>
      <c r="OI8" s="1654"/>
      <c r="OJ8" s="1654"/>
      <c r="OK8" s="1654"/>
      <c r="OL8" s="1654"/>
      <c r="OM8" s="1654"/>
      <c r="ON8" s="1654"/>
      <c r="OO8" s="1654"/>
      <c r="OP8" s="1654"/>
      <c r="OQ8" s="1654"/>
      <c r="OR8" s="1654"/>
      <c r="OS8" s="1654"/>
      <c r="OT8" s="1654"/>
      <c r="OU8" s="1654"/>
      <c r="OV8" s="1654"/>
      <c r="OW8" s="1654"/>
      <c r="OX8" s="1654"/>
      <c r="OY8" s="1654"/>
      <c r="OZ8" s="1654"/>
      <c r="PA8" s="1654"/>
      <c r="PB8" s="1654"/>
      <c r="PC8" s="1654"/>
      <c r="PD8" s="1654"/>
      <c r="PE8" s="1654"/>
      <c r="PF8" s="1654"/>
      <c r="PG8" s="1654"/>
      <c r="PH8" s="1654"/>
      <c r="PI8" s="1654"/>
      <c r="PJ8" s="1654"/>
      <c r="PK8" s="1654"/>
      <c r="PL8" s="1654"/>
      <c r="PM8" s="1654"/>
      <c r="PN8" s="1654"/>
      <c r="PO8" s="1654"/>
      <c r="PP8" s="1654"/>
      <c r="PQ8" s="1654"/>
      <c r="PR8" s="1654"/>
      <c r="PS8" s="1654"/>
      <c r="PT8" s="1655"/>
      <c r="PU8" s="1653" t="s">
        <v>857</v>
      </c>
      <c r="PV8" s="1654"/>
      <c r="PW8" s="1654"/>
      <c r="PX8" s="1654"/>
      <c r="PY8" s="1654"/>
      <c r="PZ8" s="1654"/>
      <c r="QA8" s="1654"/>
      <c r="QB8" s="1654"/>
      <c r="QC8" s="1654"/>
      <c r="QD8" s="1654"/>
      <c r="QE8" s="1654"/>
      <c r="QF8" s="1654"/>
      <c r="QG8" s="1654"/>
      <c r="QH8" s="1654"/>
      <c r="QI8" s="1654"/>
      <c r="QJ8" s="1654"/>
      <c r="QK8" s="1654"/>
      <c r="QL8" s="1654"/>
      <c r="QM8" s="1654"/>
      <c r="QN8" s="1654"/>
      <c r="QO8" s="1654"/>
      <c r="QP8" s="1654"/>
      <c r="QQ8" s="1572"/>
      <c r="QR8" s="1572"/>
      <c r="QS8" s="1653" t="s">
        <v>359</v>
      </c>
      <c r="QT8" s="1654"/>
      <c r="QU8" s="1654"/>
      <c r="QV8" s="1654"/>
      <c r="QW8" s="1654"/>
      <c r="QX8" s="1654"/>
      <c r="QY8" s="1654"/>
      <c r="QZ8" s="1655"/>
      <c r="RA8" s="1683" t="s">
        <v>16</v>
      </c>
      <c r="RB8" s="1704" t="s">
        <v>56</v>
      </c>
      <c r="RC8" s="1663" t="s">
        <v>57</v>
      </c>
      <c r="RD8" s="1682" t="s">
        <v>17</v>
      </c>
      <c r="RE8" s="1684" t="s">
        <v>56</v>
      </c>
      <c r="RF8" s="1663" t="s">
        <v>57</v>
      </c>
      <c r="RG8" s="1667" t="s">
        <v>356</v>
      </c>
      <c r="RH8" s="1687"/>
      <c r="RI8" s="1667" t="s">
        <v>353</v>
      </c>
      <c r="RJ8" s="1687"/>
      <c r="RK8" s="1654" t="s">
        <v>350</v>
      </c>
      <c r="RL8" s="1655"/>
      <c r="RM8" s="1667" t="s">
        <v>348</v>
      </c>
      <c r="RN8" s="1688"/>
      <c r="RO8" s="1667" t="s">
        <v>345</v>
      </c>
      <c r="RP8" s="1668"/>
      <c r="RQ8" s="1667" t="s">
        <v>342</v>
      </c>
      <c r="RR8" s="1677"/>
      <c r="RS8" s="1653" t="s">
        <v>339</v>
      </c>
      <c r="RT8" s="1655"/>
      <c r="RU8" s="1653" t="s">
        <v>336</v>
      </c>
      <c r="RV8" s="1655"/>
      <c r="RW8" s="1653" t="s">
        <v>712</v>
      </c>
      <c r="RX8" s="1654"/>
      <c r="RY8" s="1654"/>
      <c r="RZ8" s="1654"/>
      <c r="SA8" s="1654"/>
      <c r="SB8" s="1655"/>
      <c r="SC8" s="1653" t="s">
        <v>730</v>
      </c>
      <c r="SD8" s="1655"/>
      <c r="SE8" s="1696" t="s">
        <v>333</v>
      </c>
      <c r="SF8" s="1697"/>
      <c r="SG8" s="1697"/>
      <c r="SH8" s="1697"/>
      <c r="SI8" s="1697"/>
      <c r="SJ8" s="1697"/>
      <c r="SK8" s="1665" t="s">
        <v>16</v>
      </c>
      <c r="SL8" s="1682" t="s">
        <v>17</v>
      </c>
      <c r="SM8" s="1653" t="s">
        <v>788</v>
      </c>
      <c r="SN8" s="1654"/>
      <c r="SO8" s="1654"/>
      <c r="SP8" s="1654"/>
      <c r="SQ8" s="1654"/>
      <c r="SR8" s="1655"/>
      <c r="SS8" s="1653" t="s">
        <v>868</v>
      </c>
      <c r="ST8" s="1654"/>
      <c r="SU8" s="1654"/>
      <c r="SV8" s="1654"/>
      <c r="SW8" s="1654"/>
      <c r="SX8" s="1655"/>
      <c r="SY8" s="1653" t="s">
        <v>508</v>
      </c>
      <c r="SZ8" s="1654"/>
      <c r="TA8" s="1654"/>
      <c r="TB8" s="1654"/>
      <c r="TC8" s="1654"/>
      <c r="TD8" s="1654"/>
      <c r="TE8" s="1654"/>
      <c r="TF8" s="1654"/>
      <c r="TG8" s="1654"/>
      <c r="TH8" s="1654"/>
      <c r="TI8" s="1654"/>
      <c r="TJ8" s="1655"/>
      <c r="TK8" s="1653" t="s">
        <v>739</v>
      </c>
      <c r="TL8" s="1654"/>
      <c r="TM8" s="1654"/>
      <c r="TN8" s="1654"/>
      <c r="TO8" s="1654"/>
      <c r="TP8" s="1654"/>
      <c r="TQ8" s="1654"/>
      <c r="TR8" s="1654"/>
      <c r="TS8" s="1654"/>
      <c r="TT8" s="1654"/>
      <c r="TU8" s="1654"/>
      <c r="TV8" s="1654"/>
      <c r="TW8" s="1654"/>
      <c r="TX8" s="1654"/>
      <c r="TY8" s="1654"/>
      <c r="TZ8" s="1655"/>
      <c r="UA8" s="1653" t="s">
        <v>544</v>
      </c>
      <c r="UB8" s="1654"/>
      <c r="UC8" s="1654"/>
      <c r="UD8" s="1654"/>
      <c r="UE8" s="1654"/>
      <c r="UF8" s="1655"/>
      <c r="UG8" s="1653" t="s">
        <v>550</v>
      </c>
      <c r="UH8" s="1654"/>
      <c r="UI8" s="1654"/>
      <c r="UJ8" s="1654"/>
      <c r="UK8" s="1654"/>
      <c r="UL8" s="1654"/>
      <c r="UM8" s="1654"/>
      <c r="UN8" s="1655"/>
      <c r="UO8" s="1665" t="s">
        <v>613</v>
      </c>
      <c r="UP8" s="1671"/>
      <c r="UQ8" s="1671"/>
      <c r="UR8" s="1671"/>
      <c r="US8" s="1671"/>
      <c r="UT8" s="1671"/>
      <c r="UU8" s="1671"/>
      <c r="UV8" s="1671"/>
      <c r="UW8" s="1671"/>
      <c r="UX8" s="1671"/>
      <c r="UY8" s="1671"/>
      <c r="UZ8" s="1671"/>
      <c r="VA8" s="1671"/>
      <c r="VB8" s="1671"/>
      <c r="VC8" s="1671"/>
      <c r="VD8" s="1671"/>
      <c r="VE8" s="1671"/>
      <c r="VF8" s="1671"/>
      <c r="VG8" s="1671"/>
      <c r="VH8" s="1671"/>
      <c r="VI8" s="1671"/>
      <c r="VJ8" s="1671"/>
      <c r="VK8" s="1671"/>
      <c r="VL8" s="1671"/>
      <c r="VM8" s="1671"/>
      <c r="VN8" s="1671"/>
      <c r="VO8" s="1671"/>
      <c r="VP8" s="1671"/>
      <c r="VQ8" s="1671"/>
      <c r="VR8" s="1671"/>
      <c r="VS8" s="1671"/>
      <c r="VT8" s="1486"/>
      <c r="VU8" s="1683"/>
      <c r="VV8" s="1683"/>
      <c r="VW8" s="1701"/>
      <c r="VX8" s="1702"/>
      <c r="VY8" s="1702"/>
      <c r="VZ8" s="1702"/>
      <c r="WA8" s="1702"/>
      <c r="WB8" s="1702"/>
      <c r="WC8" s="1702"/>
      <c r="WD8" s="1703"/>
      <c r="WE8" s="1701"/>
      <c r="WF8" s="1702"/>
      <c r="WG8" s="1702"/>
      <c r="WH8" s="1702"/>
      <c r="WI8" s="1702"/>
      <c r="WJ8" s="1702"/>
      <c r="WK8" s="1702"/>
      <c r="WL8" s="1703"/>
      <c r="WO8" s="72"/>
    </row>
    <row r="9" spans="1:613" ht="204.6" customHeight="1" thickBot="1" x14ac:dyDescent="0.25">
      <c r="A9" s="1683"/>
      <c r="B9" s="1665" t="s">
        <v>62</v>
      </c>
      <c r="C9" s="1666"/>
      <c r="D9" s="1683"/>
      <c r="E9" s="1683"/>
      <c r="F9" s="1745" t="s">
        <v>593</v>
      </c>
      <c r="G9" s="1764"/>
      <c r="H9" s="1745" t="s">
        <v>9</v>
      </c>
      <c r="I9" s="1746"/>
      <c r="J9" s="1730" t="s">
        <v>120</v>
      </c>
      <c r="K9" s="1731"/>
      <c r="L9" s="1731"/>
      <c r="M9" s="1732"/>
      <c r="N9" s="1735" t="s">
        <v>941</v>
      </c>
      <c r="O9" s="1689"/>
      <c r="P9" s="1757" t="s">
        <v>122</v>
      </c>
      <c r="Q9" s="1758"/>
      <c r="R9" s="1738" t="s">
        <v>120</v>
      </c>
      <c r="S9" s="1739"/>
      <c r="T9" s="1739"/>
      <c r="U9" s="1740"/>
      <c r="V9" s="1741" t="s">
        <v>598</v>
      </c>
      <c r="W9" s="1742"/>
      <c r="X9" s="1742"/>
      <c r="Y9" s="1742"/>
      <c r="Z9" s="1743"/>
      <c r="AA9" s="1741" t="s">
        <v>600</v>
      </c>
      <c r="AB9" s="1742"/>
      <c r="AC9" s="1742"/>
      <c r="AD9" s="1743"/>
      <c r="AE9" s="1738" t="s">
        <v>120</v>
      </c>
      <c r="AF9" s="1739"/>
      <c r="AG9" s="1739"/>
      <c r="AH9" s="1740"/>
      <c r="AI9" s="1683"/>
      <c r="AJ9" s="1683"/>
      <c r="AK9" s="1665" t="s">
        <v>495</v>
      </c>
      <c r="AL9" s="1671"/>
      <c r="AM9" s="1671"/>
      <c r="AN9" s="1671"/>
      <c r="AO9" s="1671"/>
      <c r="AP9" s="1671"/>
      <c r="AQ9" s="1671"/>
      <c r="AR9" s="1671"/>
      <c r="AS9" s="1671"/>
      <c r="AT9" s="1671"/>
      <c r="AU9" s="1671"/>
      <c r="AV9" s="1666"/>
      <c r="AW9" s="1665" t="s">
        <v>275</v>
      </c>
      <c r="AX9" s="1671"/>
      <c r="AY9" s="1671"/>
      <c r="AZ9" s="1671"/>
      <c r="BA9" s="1671"/>
      <c r="BB9" s="1671"/>
      <c r="BC9" s="1671"/>
      <c r="BD9" s="1671"/>
      <c r="BE9" s="1674" t="s">
        <v>120</v>
      </c>
      <c r="BF9" s="1675"/>
      <c r="BG9" s="1675"/>
      <c r="BH9" s="1675"/>
      <c r="BI9" s="1675"/>
      <c r="BJ9" s="1675"/>
      <c r="BK9" s="1675"/>
      <c r="BL9" s="1675"/>
      <c r="BM9" s="1675"/>
      <c r="BN9" s="1675"/>
      <c r="BO9" s="1675"/>
      <c r="BP9" s="1675"/>
      <c r="BQ9" s="1675"/>
      <c r="BR9" s="1675"/>
      <c r="BS9" s="1675"/>
      <c r="BT9" s="1675"/>
      <c r="BU9" s="1653" t="s">
        <v>383</v>
      </c>
      <c r="BV9" s="1654"/>
      <c r="BW9" s="1654"/>
      <c r="BX9" s="1654"/>
      <c r="BY9" s="1654"/>
      <c r="BZ9" s="1654"/>
      <c r="CA9" s="630"/>
      <c r="CB9" s="630"/>
      <c r="CC9" s="630"/>
      <c r="CD9" s="631"/>
      <c r="CE9" s="1665" t="s">
        <v>152</v>
      </c>
      <c r="CF9" s="1671"/>
      <c r="CG9" s="1671"/>
      <c r="CH9" s="1671"/>
      <c r="CI9" s="1671"/>
      <c r="CJ9" s="1671"/>
      <c r="CK9" s="970"/>
      <c r="CL9" s="970"/>
      <c r="CM9" s="970"/>
      <c r="CN9" s="971"/>
      <c r="CO9" s="1656" t="s">
        <v>120</v>
      </c>
      <c r="CP9" s="1657"/>
      <c r="CQ9" s="1657"/>
      <c r="CR9" s="1658"/>
      <c r="CS9" s="1665" t="s">
        <v>266</v>
      </c>
      <c r="CT9" s="1666"/>
      <c r="CU9" s="1665" t="s">
        <v>262</v>
      </c>
      <c r="CV9" s="1666"/>
      <c r="CW9" s="1656" t="s">
        <v>120</v>
      </c>
      <c r="CX9" s="1657"/>
      <c r="CY9" s="1657"/>
      <c r="CZ9" s="1657"/>
      <c r="DA9" s="1653" t="s">
        <v>378</v>
      </c>
      <c r="DB9" s="1654"/>
      <c r="DC9" s="1665" t="s">
        <v>267</v>
      </c>
      <c r="DD9" s="1666"/>
      <c r="DE9" s="1656" t="s">
        <v>120</v>
      </c>
      <c r="DF9" s="1657"/>
      <c r="DG9" s="1657"/>
      <c r="DH9" s="1658"/>
      <c r="DI9" s="1653" t="s">
        <v>538</v>
      </c>
      <c r="DJ9" s="1654"/>
      <c r="DK9" s="1654"/>
      <c r="DL9" s="1654"/>
      <c r="DM9" s="1654"/>
      <c r="DN9" s="1654"/>
      <c r="DO9" s="1654"/>
      <c r="DP9" s="1655"/>
      <c r="DQ9" s="1653" t="s">
        <v>639</v>
      </c>
      <c r="DR9" s="1654"/>
      <c r="DS9" s="1654"/>
      <c r="DT9" s="1654"/>
      <c r="DU9" s="1654"/>
      <c r="DV9" s="1654"/>
      <c r="DW9" s="1654"/>
      <c r="DX9" s="1654"/>
      <c r="DY9" s="1654"/>
      <c r="DZ9" s="1654"/>
      <c r="EA9" s="1654"/>
      <c r="EB9" s="1654"/>
      <c r="EC9" s="1654"/>
      <c r="ED9" s="1654"/>
      <c r="EE9" s="1653" t="s">
        <v>635</v>
      </c>
      <c r="EF9" s="1654"/>
      <c r="EG9" s="1654"/>
      <c r="EH9" s="1654"/>
      <c r="EI9" s="1654"/>
      <c r="EJ9" s="1655"/>
      <c r="EK9" s="1714" t="s">
        <v>425</v>
      </c>
      <c r="EL9" s="1715"/>
      <c r="EM9" s="1715"/>
      <c r="EN9" s="1715"/>
      <c r="EO9" s="1715"/>
      <c r="EP9" s="1715"/>
      <c r="EQ9" s="1715"/>
      <c r="ER9" s="1715"/>
      <c r="ES9" s="1715"/>
      <c r="ET9" s="1715"/>
      <c r="EU9" s="1715"/>
      <c r="EV9" s="1715"/>
      <c r="EW9" s="1715"/>
      <c r="EX9" s="1715"/>
      <c r="EY9" s="1653" t="s">
        <v>450</v>
      </c>
      <c r="EZ9" s="1654"/>
      <c r="FA9" s="1654"/>
      <c r="FB9" s="1654"/>
      <c r="FC9" s="1654"/>
      <c r="FD9" s="1655"/>
      <c r="FE9" s="1653" t="s">
        <v>633</v>
      </c>
      <c r="FF9" s="1654"/>
      <c r="FG9" s="1654"/>
      <c r="FH9" s="1654"/>
      <c r="FI9" s="1654"/>
      <c r="FJ9" s="1655"/>
      <c r="FK9" s="1653" t="s">
        <v>631</v>
      </c>
      <c r="FL9" s="1654"/>
      <c r="FM9" s="1654"/>
      <c r="FN9" s="1654"/>
      <c r="FO9" s="1654"/>
      <c r="FP9" s="1655"/>
      <c r="FQ9" s="1653" t="s">
        <v>693</v>
      </c>
      <c r="FR9" s="1654"/>
      <c r="FS9" s="1654"/>
      <c r="FT9" s="1654"/>
      <c r="FU9" s="1654"/>
      <c r="FV9" s="1655"/>
      <c r="FW9" s="1665" t="s">
        <v>783</v>
      </c>
      <c r="FX9" s="1671"/>
      <c r="FY9" s="1671"/>
      <c r="FZ9" s="1671"/>
      <c r="GA9" s="1671"/>
      <c r="GB9" s="1666"/>
      <c r="GC9" s="1674" t="s">
        <v>120</v>
      </c>
      <c r="GD9" s="1675"/>
      <c r="GE9" s="1675"/>
      <c r="GF9" s="1676"/>
      <c r="GG9" s="1653" t="s">
        <v>698</v>
      </c>
      <c r="GH9" s="1654"/>
      <c r="GI9" s="1654"/>
      <c r="GJ9" s="1654"/>
      <c r="GK9" s="1654"/>
      <c r="GL9" s="1655"/>
      <c r="GM9" s="1653" t="s">
        <v>669</v>
      </c>
      <c r="GN9" s="1654"/>
      <c r="GO9" s="1654"/>
      <c r="GP9" s="1654"/>
      <c r="GQ9" s="1654"/>
      <c r="GR9" s="1655"/>
      <c r="GS9" s="1665" t="s">
        <v>668</v>
      </c>
      <c r="GT9" s="1671"/>
      <c r="GU9" s="1671"/>
      <c r="GV9" s="1671"/>
      <c r="GW9" s="1671"/>
      <c r="GX9" s="1666"/>
      <c r="GY9" s="1674" t="s">
        <v>120</v>
      </c>
      <c r="GZ9" s="1675"/>
      <c r="HA9" s="1675"/>
      <c r="HB9" s="1675"/>
      <c r="HC9" s="1675"/>
      <c r="HD9" s="1675"/>
      <c r="HE9" s="1675"/>
      <c r="HF9" s="1675"/>
      <c r="HG9" s="1675"/>
      <c r="HH9" s="1675"/>
      <c r="HI9" s="1675"/>
      <c r="HJ9" s="1676"/>
      <c r="HK9" s="1653" t="s">
        <v>375</v>
      </c>
      <c r="HL9" s="1654"/>
      <c r="HM9" s="1654"/>
      <c r="HN9" s="1654"/>
      <c r="HO9" s="1654"/>
      <c r="HP9" s="1655"/>
      <c r="HQ9" s="1665" t="s">
        <v>628</v>
      </c>
      <c r="HR9" s="1671"/>
      <c r="HS9" s="1671"/>
      <c r="HT9" s="1671"/>
      <c r="HU9" s="1671"/>
      <c r="HV9" s="1666"/>
      <c r="HW9" s="1665" t="s">
        <v>625</v>
      </c>
      <c r="HX9" s="1671"/>
      <c r="HY9" s="1671"/>
      <c r="HZ9" s="1671"/>
      <c r="IA9" s="1671"/>
      <c r="IB9" s="1666"/>
      <c r="IC9" s="1592"/>
      <c r="ID9" s="1592"/>
      <c r="IE9" s="1738" t="s">
        <v>120</v>
      </c>
      <c r="IF9" s="1739"/>
      <c r="IG9" s="1739"/>
      <c r="IH9" s="1739"/>
      <c r="II9" s="1739"/>
      <c r="IJ9" s="1739"/>
      <c r="IK9" s="1739"/>
      <c r="IL9" s="1739"/>
      <c r="IM9" s="1739"/>
      <c r="IN9" s="1739"/>
      <c r="IO9" s="1739"/>
      <c r="IP9" s="1740"/>
      <c r="IQ9" s="1669" t="s">
        <v>370</v>
      </c>
      <c r="IR9" s="1670"/>
      <c r="IS9" s="1670"/>
      <c r="IT9" s="1670"/>
      <c r="IU9" s="1670"/>
      <c r="IV9" s="1670"/>
      <c r="IW9" s="1670"/>
      <c r="IX9" s="1670"/>
      <c r="IY9" s="1670"/>
      <c r="IZ9" s="1670"/>
      <c r="JA9" s="1670"/>
      <c r="JB9" s="1670"/>
      <c r="JC9" s="1670"/>
      <c r="JD9" s="1670"/>
      <c r="JE9" s="1670"/>
      <c r="JF9" s="1670"/>
      <c r="JG9" s="1670"/>
      <c r="JH9" s="1670"/>
      <c r="JI9" s="1670"/>
      <c r="JJ9" s="1670"/>
      <c r="JK9" s="1669" t="s">
        <v>242</v>
      </c>
      <c r="JL9" s="1670"/>
      <c r="JM9" s="1670"/>
      <c r="JN9" s="1670"/>
      <c r="JO9" s="1670"/>
      <c r="JP9" s="1670"/>
      <c r="JQ9" s="1670"/>
      <c r="JR9" s="1670"/>
      <c r="JS9" s="1670"/>
      <c r="JT9" s="1670"/>
      <c r="JU9" s="1738" t="s">
        <v>120</v>
      </c>
      <c r="JV9" s="1739"/>
      <c r="JW9" s="1739"/>
      <c r="JX9" s="1739"/>
      <c r="JY9" s="1739"/>
      <c r="JZ9" s="1739"/>
      <c r="KA9" s="1739"/>
      <c r="KB9" s="1739"/>
      <c r="KC9" s="1739"/>
      <c r="KD9" s="1739"/>
      <c r="KE9" s="1739"/>
      <c r="KF9" s="1739"/>
      <c r="KG9" s="1739"/>
      <c r="KH9" s="1739"/>
      <c r="KI9" s="1739"/>
      <c r="KJ9" s="1739"/>
      <c r="KK9" s="1739"/>
      <c r="KL9" s="1739"/>
      <c r="KM9" s="1739"/>
      <c r="KN9" s="1739"/>
      <c r="KO9" s="1653" t="s">
        <v>367</v>
      </c>
      <c r="KP9" s="1654"/>
      <c r="KQ9" s="1654"/>
      <c r="KR9" s="1654"/>
      <c r="KS9" s="1654"/>
      <c r="KT9" s="1654"/>
      <c r="KU9" s="1654"/>
      <c r="KV9" s="1655"/>
      <c r="KW9" s="1672" t="s">
        <v>622</v>
      </c>
      <c r="KX9" s="1673"/>
      <c r="KY9" s="1673"/>
      <c r="KZ9" s="1673"/>
      <c r="LA9" s="1665" t="s">
        <v>619</v>
      </c>
      <c r="LB9" s="1671"/>
      <c r="LC9" s="1671"/>
      <c r="LD9" s="1671"/>
      <c r="LE9" s="1671"/>
      <c r="LF9" s="1671"/>
      <c r="LG9" s="1671"/>
      <c r="LH9" s="1666"/>
      <c r="LI9" s="1665" t="s">
        <v>616</v>
      </c>
      <c r="LJ9" s="1671"/>
      <c r="LK9" s="1671"/>
      <c r="LL9" s="1671"/>
      <c r="LM9" s="1671"/>
      <c r="LN9" s="1671"/>
      <c r="LO9" s="1671"/>
      <c r="LP9" s="1666"/>
      <c r="LQ9" s="1738" t="s">
        <v>120</v>
      </c>
      <c r="LR9" s="1739"/>
      <c r="LS9" s="1739"/>
      <c r="LT9" s="1739"/>
      <c r="LU9" s="1739"/>
      <c r="LV9" s="1739"/>
      <c r="LW9" s="1739"/>
      <c r="LX9" s="1739"/>
      <c r="LY9" s="1739"/>
      <c r="LZ9" s="1739"/>
      <c r="MA9" s="1739"/>
      <c r="MB9" s="1739"/>
      <c r="MC9" s="1739"/>
      <c r="MD9" s="1739"/>
      <c r="ME9" s="1739"/>
      <c r="MF9" s="1740"/>
      <c r="MG9" s="1665" t="s">
        <v>606</v>
      </c>
      <c r="MH9" s="1671"/>
      <c r="MI9" s="1671"/>
      <c r="MJ9" s="1671"/>
      <c r="MK9" s="1671"/>
      <c r="ML9" s="1671"/>
      <c r="MM9" s="1671"/>
      <c r="MN9" s="1671"/>
      <c r="MO9" s="1671"/>
      <c r="MP9" s="1666"/>
      <c r="MQ9" s="1656" t="s">
        <v>120</v>
      </c>
      <c r="MR9" s="1657"/>
      <c r="MS9" s="1657"/>
      <c r="MT9" s="1657"/>
      <c r="MU9" s="1657"/>
      <c r="MV9" s="1657"/>
      <c r="MW9" s="1657"/>
      <c r="MX9" s="1657"/>
      <c r="MY9" s="1657"/>
      <c r="MZ9" s="1657"/>
      <c r="NA9" s="1657"/>
      <c r="NB9" s="1657"/>
      <c r="NC9" s="1657"/>
      <c r="ND9" s="1657"/>
      <c r="NE9" s="1657"/>
      <c r="NF9" s="1657"/>
      <c r="NG9" s="1657"/>
      <c r="NH9" s="1657"/>
      <c r="NI9" s="1657"/>
      <c r="NJ9" s="1658"/>
      <c r="NK9" s="1653" t="s">
        <v>569</v>
      </c>
      <c r="NL9" s="1654"/>
      <c r="NM9" s="1654"/>
      <c r="NN9" s="1654"/>
      <c r="NO9" s="1654"/>
      <c r="NP9" s="1655"/>
      <c r="NQ9" s="1665" t="s">
        <v>655</v>
      </c>
      <c r="NR9" s="1671"/>
      <c r="NS9" s="1671"/>
      <c r="NT9" s="1671"/>
      <c r="NU9" s="1671"/>
      <c r="NV9" s="1671"/>
      <c r="NW9" s="1671"/>
      <c r="NX9" s="1671"/>
      <c r="NY9" s="1671"/>
      <c r="NZ9" s="1671"/>
      <c r="OA9" s="1671"/>
      <c r="OB9" s="1671"/>
      <c r="OC9" s="1671"/>
      <c r="OD9" s="1666"/>
      <c r="OE9" s="1665" t="s">
        <v>611</v>
      </c>
      <c r="OF9" s="1671"/>
      <c r="OG9" s="1671"/>
      <c r="OH9" s="1671"/>
      <c r="OI9" s="1671"/>
      <c r="OJ9" s="1671"/>
      <c r="OK9" s="1671"/>
      <c r="OL9" s="1671"/>
      <c r="OM9" s="1671"/>
      <c r="ON9" s="1671"/>
      <c r="OO9" s="1671"/>
      <c r="OP9" s="1671"/>
      <c r="OQ9" s="1671"/>
      <c r="OR9" s="1666"/>
      <c r="OS9" s="1678" t="s">
        <v>120</v>
      </c>
      <c r="OT9" s="1679"/>
      <c r="OU9" s="1679"/>
      <c r="OV9" s="1679"/>
      <c r="OW9" s="1679"/>
      <c r="OX9" s="1679"/>
      <c r="OY9" s="1679"/>
      <c r="OZ9" s="1679"/>
      <c r="PA9" s="1679"/>
      <c r="PB9" s="1679"/>
      <c r="PC9" s="1679"/>
      <c r="PD9" s="1679"/>
      <c r="PE9" s="1679"/>
      <c r="PF9" s="1679"/>
      <c r="PG9" s="1679"/>
      <c r="PH9" s="1679"/>
      <c r="PI9" s="1679"/>
      <c r="PJ9" s="1679"/>
      <c r="PK9" s="1679"/>
      <c r="PL9" s="1679"/>
      <c r="PM9" s="1679"/>
      <c r="PN9" s="1679"/>
      <c r="PO9" s="1679"/>
      <c r="PP9" s="1679"/>
      <c r="PQ9" s="1679"/>
      <c r="PR9" s="1679"/>
      <c r="PS9" s="1679"/>
      <c r="PT9" s="1680"/>
      <c r="PU9" s="1665" t="s">
        <v>859</v>
      </c>
      <c r="PV9" s="1671"/>
      <c r="PW9" s="1671"/>
      <c r="PX9" s="1671"/>
      <c r="PY9" s="1671"/>
      <c r="PZ9" s="1666"/>
      <c r="QA9" s="1665" t="s">
        <v>858</v>
      </c>
      <c r="QB9" s="1671"/>
      <c r="QC9" s="1671"/>
      <c r="QD9" s="1671"/>
      <c r="QE9" s="1671"/>
      <c r="QF9" s="1666"/>
      <c r="QG9" s="1738" t="s">
        <v>120</v>
      </c>
      <c r="QH9" s="1739"/>
      <c r="QI9" s="1739"/>
      <c r="QJ9" s="1739"/>
      <c r="QK9" s="1739"/>
      <c r="QL9" s="1739"/>
      <c r="QM9" s="1739"/>
      <c r="QN9" s="1739"/>
      <c r="QO9" s="1739"/>
      <c r="QP9" s="1739"/>
      <c r="QQ9" s="1739"/>
      <c r="QR9" s="1740"/>
      <c r="QS9" s="1653" t="s">
        <v>362</v>
      </c>
      <c r="QT9" s="1655"/>
      <c r="QU9" s="1665" t="s">
        <v>23</v>
      </c>
      <c r="QV9" s="1666"/>
      <c r="QW9" s="1738" t="s">
        <v>120</v>
      </c>
      <c r="QX9" s="1739"/>
      <c r="QY9" s="1739"/>
      <c r="QZ9" s="1740"/>
      <c r="RA9" s="1683"/>
      <c r="RB9" s="1705"/>
      <c r="RC9" s="1664"/>
      <c r="RD9" s="1683"/>
      <c r="RE9" s="1685"/>
      <c r="RF9" s="1664"/>
      <c r="RG9" s="1653" t="s">
        <v>357</v>
      </c>
      <c r="RH9" s="1660"/>
      <c r="RI9" s="1653" t="s">
        <v>354</v>
      </c>
      <c r="RJ9" s="1660"/>
      <c r="RK9" s="1653" t="s">
        <v>351</v>
      </c>
      <c r="RL9" s="1655"/>
      <c r="RM9" s="1665" t="s">
        <v>349</v>
      </c>
      <c r="RN9" s="1666"/>
      <c r="RO9" s="1653" t="s">
        <v>346</v>
      </c>
      <c r="RP9" s="1655"/>
      <c r="RQ9" s="1653" t="s">
        <v>343</v>
      </c>
      <c r="RR9" s="1655"/>
      <c r="RS9" s="1653" t="s">
        <v>340</v>
      </c>
      <c r="RT9" s="1655"/>
      <c r="RU9" s="1653" t="s">
        <v>337</v>
      </c>
      <c r="RV9" s="1655"/>
      <c r="RW9" s="1653" t="s">
        <v>713</v>
      </c>
      <c r="RX9" s="1654"/>
      <c r="RY9" s="1654"/>
      <c r="RZ9" s="1654"/>
      <c r="SA9" s="1654"/>
      <c r="SB9" s="1655"/>
      <c r="SC9" s="1653" t="s">
        <v>731</v>
      </c>
      <c r="SD9" s="1655"/>
      <c r="SE9" s="1696" t="s">
        <v>334</v>
      </c>
      <c r="SF9" s="1697"/>
      <c r="SG9" s="1697"/>
      <c r="SH9" s="1697"/>
      <c r="SI9" s="1697"/>
      <c r="SJ9" s="1697"/>
      <c r="SK9" s="1669"/>
      <c r="SL9" s="1683"/>
      <c r="SM9" s="1653" t="s">
        <v>790</v>
      </c>
      <c r="SN9" s="1654"/>
      <c r="SO9" s="1654"/>
      <c r="SP9" s="1654"/>
      <c r="SQ9" s="1654"/>
      <c r="SR9" s="1655"/>
      <c r="SS9" s="1653" t="s">
        <v>869</v>
      </c>
      <c r="ST9" s="1654"/>
      <c r="SU9" s="1654"/>
      <c r="SV9" s="1654"/>
      <c r="SW9" s="1654"/>
      <c r="SX9" s="1655"/>
      <c r="SY9" s="1665" t="s">
        <v>509</v>
      </c>
      <c r="SZ9" s="1671"/>
      <c r="TA9" s="1671"/>
      <c r="TB9" s="1666"/>
      <c r="TC9" s="1698" t="s">
        <v>510</v>
      </c>
      <c r="TD9" s="1699"/>
      <c r="TE9" s="1699"/>
      <c r="TF9" s="1700"/>
      <c r="TG9" s="1690" t="s">
        <v>120</v>
      </c>
      <c r="TH9" s="1691"/>
      <c r="TI9" s="1691"/>
      <c r="TJ9" s="1692"/>
      <c r="TK9" s="1665" t="s">
        <v>744</v>
      </c>
      <c r="TL9" s="1671"/>
      <c r="TM9" s="1671"/>
      <c r="TN9" s="1671"/>
      <c r="TO9" s="1671"/>
      <c r="TP9" s="1666"/>
      <c r="TQ9" s="1665" t="s">
        <v>741</v>
      </c>
      <c r="TR9" s="1671"/>
      <c r="TS9" s="1671"/>
      <c r="TT9" s="1671"/>
      <c r="TU9" s="1671"/>
      <c r="TV9" s="1666"/>
      <c r="TW9" s="1674" t="s">
        <v>120</v>
      </c>
      <c r="TX9" s="1675"/>
      <c r="TY9" s="1675"/>
      <c r="TZ9" s="1676"/>
      <c r="UA9" s="1653" t="s">
        <v>545</v>
      </c>
      <c r="UB9" s="1654"/>
      <c r="UC9" s="1654"/>
      <c r="UD9" s="1654"/>
      <c r="UE9" s="1654"/>
      <c r="UF9" s="1655"/>
      <c r="UG9" s="1653" t="s">
        <v>551</v>
      </c>
      <c r="UH9" s="1654"/>
      <c r="UI9" s="1654"/>
      <c r="UJ9" s="1654"/>
      <c r="UK9" s="1654"/>
      <c r="UL9" s="1654"/>
      <c r="UM9" s="1654"/>
      <c r="UN9" s="1655"/>
      <c r="UO9" s="1665" t="s">
        <v>331</v>
      </c>
      <c r="UP9" s="1671"/>
      <c r="UQ9" s="1671"/>
      <c r="UR9" s="1671"/>
      <c r="US9" s="1671"/>
      <c r="UT9" s="1671"/>
      <c r="UU9" s="1671"/>
      <c r="UV9" s="1671"/>
      <c r="UW9" s="1671"/>
      <c r="UX9" s="1671"/>
      <c r="UY9" s="1671"/>
      <c r="UZ9" s="1671"/>
      <c r="VA9" s="1671"/>
      <c r="VB9" s="1666"/>
      <c r="VC9" s="1665" t="s">
        <v>73</v>
      </c>
      <c r="VD9" s="1671"/>
      <c r="VE9" s="1671"/>
      <c r="VF9" s="1671"/>
      <c r="VG9" s="1671"/>
      <c r="VH9" s="1666"/>
      <c r="VI9" s="1656" t="s">
        <v>120</v>
      </c>
      <c r="VJ9" s="1657"/>
      <c r="VK9" s="1657"/>
      <c r="VL9" s="1657"/>
      <c r="VM9" s="1657"/>
      <c r="VN9" s="1657"/>
      <c r="VO9" s="1657"/>
      <c r="VP9" s="1657"/>
      <c r="VQ9" s="1657"/>
      <c r="VR9" s="1657"/>
      <c r="VS9" s="1657"/>
      <c r="VT9" s="1658"/>
      <c r="VU9" s="1683"/>
      <c r="VV9" s="1683"/>
      <c r="VW9" s="1711" t="s">
        <v>63</v>
      </c>
      <c r="VX9" s="1713"/>
      <c r="VY9" s="1698" t="s">
        <v>119</v>
      </c>
      <c r="VZ9" s="1700"/>
      <c r="WA9" s="1690" t="s">
        <v>120</v>
      </c>
      <c r="WB9" s="1691"/>
      <c r="WC9" s="1691"/>
      <c r="WD9" s="1692"/>
      <c r="WE9" s="1720" t="s">
        <v>69</v>
      </c>
      <c r="WF9" s="1721"/>
      <c r="WG9" s="1698" t="s">
        <v>121</v>
      </c>
      <c r="WH9" s="1700"/>
      <c r="WI9" s="1690" t="s">
        <v>120</v>
      </c>
      <c r="WJ9" s="1691"/>
      <c r="WK9" s="1691"/>
      <c r="WL9" s="1692"/>
      <c r="WO9" s="72"/>
    </row>
    <row r="10" spans="1:613" ht="212.1" customHeight="1" thickBot="1" x14ac:dyDescent="0.25">
      <c r="A10" s="1683"/>
      <c r="B10" s="1667"/>
      <c r="C10" s="1668"/>
      <c r="D10" s="1683"/>
      <c r="E10" s="1683"/>
      <c r="F10" s="1696" t="s">
        <v>594</v>
      </c>
      <c r="G10" s="1697"/>
      <c r="H10" s="1747"/>
      <c r="I10" s="1748"/>
      <c r="J10" s="1749" t="s">
        <v>595</v>
      </c>
      <c r="K10" s="1750"/>
      <c r="L10" s="1749" t="s">
        <v>596</v>
      </c>
      <c r="M10" s="1750"/>
      <c r="N10" s="1735" t="s">
        <v>942</v>
      </c>
      <c r="O10" s="1689"/>
      <c r="P10" s="1759"/>
      <c r="Q10" s="1760"/>
      <c r="R10" s="1728" t="s">
        <v>943</v>
      </c>
      <c r="S10" s="1729"/>
      <c r="T10" s="1728" t="s">
        <v>944</v>
      </c>
      <c r="U10" s="1729"/>
      <c r="V10" s="1754" t="s">
        <v>599</v>
      </c>
      <c r="W10" s="1755"/>
      <c r="X10" s="1755"/>
      <c r="Y10" s="1755"/>
      <c r="Z10" s="1756"/>
      <c r="AA10" s="1751"/>
      <c r="AB10" s="1752"/>
      <c r="AC10" s="1752"/>
      <c r="AD10" s="1753"/>
      <c r="AE10" s="1728" t="s">
        <v>602</v>
      </c>
      <c r="AF10" s="1729"/>
      <c r="AG10" s="1728" t="s">
        <v>601</v>
      </c>
      <c r="AH10" s="1729"/>
      <c r="AI10" s="1683"/>
      <c r="AJ10" s="1669"/>
      <c r="AK10" s="1653" t="s">
        <v>496</v>
      </c>
      <c r="AL10" s="1654"/>
      <c r="AM10" s="1654"/>
      <c r="AN10" s="1654"/>
      <c r="AO10" s="1654"/>
      <c r="AP10" s="1654"/>
      <c r="AQ10" s="1654"/>
      <c r="AR10" s="1654"/>
      <c r="AS10" s="1654"/>
      <c r="AT10" s="1654"/>
      <c r="AU10" s="1654"/>
      <c r="AV10" s="1655"/>
      <c r="AW10" s="1667"/>
      <c r="AX10" s="1677"/>
      <c r="AY10" s="1677"/>
      <c r="AZ10" s="1677"/>
      <c r="BA10" s="1677"/>
      <c r="BB10" s="1677"/>
      <c r="BC10" s="1677"/>
      <c r="BD10" s="1677"/>
      <c r="BE10" s="1674" t="s">
        <v>497</v>
      </c>
      <c r="BF10" s="1675"/>
      <c r="BG10" s="1675"/>
      <c r="BH10" s="1675"/>
      <c r="BI10" s="1675"/>
      <c r="BJ10" s="1675"/>
      <c r="BK10" s="1675"/>
      <c r="BL10" s="1675"/>
      <c r="BM10" s="1674" t="s">
        <v>498</v>
      </c>
      <c r="BN10" s="1675"/>
      <c r="BO10" s="1675"/>
      <c r="BP10" s="1675"/>
      <c r="BQ10" s="1675"/>
      <c r="BR10" s="1675"/>
      <c r="BS10" s="1675"/>
      <c r="BT10" s="1675"/>
      <c r="BU10" s="1653" t="s">
        <v>384</v>
      </c>
      <c r="BV10" s="1654"/>
      <c r="BW10" s="1654"/>
      <c r="BX10" s="1654"/>
      <c r="BY10" s="1654"/>
      <c r="BZ10" s="1654"/>
      <c r="CA10" s="630"/>
      <c r="CB10" s="630"/>
      <c r="CC10" s="630"/>
      <c r="CD10" s="631"/>
      <c r="CE10" s="1667"/>
      <c r="CF10" s="1677"/>
      <c r="CG10" s="1677"/>
      <c r="CH10" s="1677"/>
      <c r="CI10" s="1677"/>
      <c r="CJ10" s="1677"/>
      <c r="CK10" s="972"/>
      <c r="CL10" s="972"/>
      <c r="CM10" s="972"/>
      <c r="CN10" s="973"/>
      <c r="CO10" s="1656" t="s">
        <v>385</v>
      </c>
      <c r="CP10" s="1658"/>
      <c r="CQ10" s="1656" t="s">
        <v>386</v>
      </c>
      <c r="CR10" s="1658"/>
      <c r="CS10" s="1665" t="s">
        <v>265</v>
      </c>
      <c r="CT10" s="1666"/>
      <c r="CU10" s="1667"/>
      <c r="CV10" s="1668"/>
      <c r="CW10" s="1656" t="s">
        <v>263</v>
      </c>
      <c r="CX10" s="1733"/>
      <c r="CY10" s="1656" t="s">
        <v>264</v>
      </c>
      <c r="CZ10" s="1733"/>
      <c r="DA10" s="1653" t="s">
        <v>379</v>
      </c>
      <c r="DB10" s="1655"/>
      <c r="DC10" s="1667"/>
      <c r="DD10" s="1668"/>
      <c r="DE10" s="1656" t="s">
        <v>380</v>
      </c>
      <c r="DF10" s="1657"/>
      <c r="DG10" s="1656" t="s">
        <v>381</v>
      </c>
      <c r="DH10" s="1658"/>
      <c r="DI10" s="1653" t="s">
        <v>539</v>
      </c>
      <c r="DJ10" s="1654"/>
      <c r="DK10" s="1654"/>
      <c r="DL10" s="1654"/>
      <c r="DM10" s="1654"/>
      <c r="DN10" s="1654"/>
      <c r="DO10" s="1654"/>
      <c r="DP10" s="1655"/>
      <c r="DQ10" s="1653" t="s">
        <v>640</v>
      </c>
      <c r="DR10" s="1654"/>
      <c r="DS10" s="1654"/>
      <c r="DT10" s="1654"/>
      <c r="DU10" s="1654"/>
      <c r="DV10" s="1654"/>
      <c r="DW10" s="1654"/>
      <c r="DX10" s="1654"/>
      <c r="DY10" s="1654"/>
      <c r="DZ10" s="1654"/>
      <c r="EA10" s="1654"/>
      <c r="EB10" s="1654"/>
      <c r="EC10" s="1654"/>
      <c r="ED10" s="1654"/>
      <c r="EE10" s="1653" t="s">
        <v>636</v>
      </c>
      <c r="EF10" s="1654"/>
      <c r="EG10" s="1654"/>
      <c r="EH10" s="1654"/>
      <c r="EI10" s="1654"/>
      <c r="EJ10" s="1655"/>
      <c r="EK10" s="1714" t="s">
        <v>426</v>
      </c>
      <c r="EL10" s="1715"/>
      <c r="EM10" s="1715"/>
      <c r="EN10" s="1715"/>
      <c r="EO10" s="1715"/>
      <c r="EP10" s="1715"/>
      <c r="EQ10" s="1715"/>
      <c r="ER10" s="1715"/>
      <c r="ES10" s="1715"/>
      <c r="ET10" s="1715"/>
      <c r="EU10" s="1715"/>
      <c r="EV10" s="1715"/>
      <c r="EW10" s="1715"/>
      <c r="EX10" s="1715"/>
      <c r="EY10" s="1653" t="s">
        <v>451</v>
      </c>
      <c r="EZ10" s="1654"/>
      <c r="FA10" s="1654"/>
      <c r="FB10" s="1654"/>
      <c r="FC10" s="1654"/>
      <c r="FD10" s="1655"/>
      <c r="FE10" s="1653" t="s">
        <v>634</v>
      </c>
      <c r="FF10" s="1654"/>
      <c r="FG10" s="1654"/>
      <c r="FH10" s="1654"/>
      <c r="FI10" s="1654"/>
      <c r="FJ10" s="1655"/>
      <c r="FK10" s="1653" t="s">
        <v>632</v>
      </c>
      <c r="FL10" s="1654"/>
      <c r="FM10" s="1654"/>
      <c r="FN10" s="1654"/>
      <c r="FO10" s="1654"/>
      <c r="FP10" s="1655"/>
      <c r="FQ10" s="1653" t="s">
        <v>694</v>
      </c>
      <c r="FR10" s="1654"/>
      <c r="FS10" s="1654"/>
      <c r="FT10" s="1654"/>
      <c r="FU10" s="1654"/>
      <c r="FV10" s="1655"/>
      <c r="FW10" s="1667"/>
      <c r="FX10" s="1677"/>
      <c r="FY10" s="1677"/>
      <c r="FZ10" s="1677"/>
      <c r="GA10" s="1677"/>
      <c r="GB10" s="1668"/>
      <c r="GC10" s="1674" t="s">
        <v>695</v>
      </c>
      <c r="GD10" s="1676"/>
      <c r="GE10" s="1675" t="s">
        <v>696</v>
      </c>
      <c r="GF10" s="1675"/>
      <c r="GG10" s="1653" t="s">
        <v>699</v>
      </c>
      <c r="GH10" s="1654"/>
      <c r="GI10" s="1654"/>
      <c r="GJ10" s="1654"/>
      <c r="GK10" s="1654"/>
      <c r="GL10" s="1655"/>
      <c r="GM10" s="1653" t="s">
        <v>670</v>
      </c>
      <c r="GN10" s="1654"/>
      <c r="GO10" s="1654"/>
      <c r="GP10" s="1654"/>
      <c r="GQ10" s="1654"/>
      <c r="GR10" s="1655"/>
      <c r="GS10" s="1667"/>
      <c r="GT10" s="1677"/>
      <c r="GU10" s="1677"/>
      <c r="GV10" s="1677"/>
      <c r="GW10" s="1677"/>
      <c r="GX10" s="1668"/>
      <c r="GY10" s="1674" t="s">
        <v>671</v>
      </c>
      <c r="GZ10" s="1675"/>
      <c r="HA10" s="1675"/>
      <c r="HB10" s="1675"/>
      <c r="HC10" s="1675"/>
      <c r="HD10" s="1676"/>
      <c r="HE10" s="1674" t="s">
        <v>672</v>
      </c>
      <c r="HF10" s="1675"/>
      <c r="HG10" s="1675"/>
      <c r="HH10" s="1675"/>
      <c r="HI10" s="1675"/>
      <c r="HJ10" s="1676"/>
      <c r="HK10" s="1653" t="s">
        <v>376</v>
      </c>
      <c r="HL10" s="1654"/>
      <c r="HM10" s="1654"/>
      <c r="HN10" s="1654"/>
      <c r="HO10" s="1654"/>
      <c r="HP10" s="1655"/>
      <c r="HQ10" s="1653" t="s">
        <v>629</v>
      </c>
      <c r="HR10" s="1654"/>
      <c r="HS10" s="1654"/>
      <c r="HT10" s="1654"/>
      <c r="HU10" s="1654"/>
      <c r="HV10" s="1655"/>
      <c r="HW10" s="1667"/>
      <c r="HX10" s="1677"/>
      <c r="HY10" s="1677"/>
      <c r="HZ10" s="1677"/>
      <c r="IA10" s="1677"/>
      <c r="IB10" s="1668"/>
      <c r="IC10" s="1706" t="s">
        <v>136</v>
      </c>
      <c r="ID10" s="1707"/>
      <c r="IE10" s="1656" t="s">
        <v>626</v>
      </c>
      <c r="IF10" s="1657"/>
      <c r="IG10" s="1657"/>
      <c r="IH10" s="1657"/>
      <c r="II10" s="1657"/>
      <c r="IJ10" s="1658"/>
      <c r="IK10" s="1656" t="s">
        <v>627</v>
      </c>
      <c r="IL10" s="1657"/>
      <c r="IM10" s="1657"/>
      <c r="IN10" s="1657"/>
      <c r="IO10" s="1657"/>
      <c r="IP10" s="1658"/>
      <c r="IQ10" s="1653" t="s">
        <v>371</v>
      </c>
      <c r="IR10" s="1654"/>
      <c r="IS10" s="1654"/>
      <c r="IT10" s="1654"/>
      <c r="IU10" s="1654"/>
      <c r="IV10" s="1654"/>
      <c r="IW10" s="1654"/>
      <c r="IX10" s="1654"/>
      <c r="IY10" s="1654"/>
      <c r="IZ10" s="1654"/>
      <c r="JA10" s="1654"/>
      <c r="JB10" s="1654"/>
      <c r="JC10" s="1654"/>
      <c r="JD10" s="1654"/>
      <c r="JE10" s="1654"/>
      <c r="JF10" s="1654"/>
      <c r="JG10" s="1654"/>
      <c r="JH10" s="1654"/>
      <c r="JI10" s="1654"/>
      <c r="JJ10" s="1654"/>
      <c r="JK10" s="1667"/>
      <c r="JL10" s="1677"/>
      <c r="JM10" s="1677"/>
      <c r="JN10" s="1677"/>
      <c r="JO10" s="1677"/>
      <c r="JP10" s="1677"/>
      <c r="JQ10" s="1677"/>
      <c r="JR10" s="1677"/>
      <c r="JS10" s="1677"/>
      <c r="JT10" s="1677"/>
      <c r="JU10" s="1661" t="s">
        <v>372</v>
      </c>
      <c r="JV10" s="1662"/>
      <c r="JW10" s="1662"/>
      <c r="JX10" s="1662"/>
      <c r="JY10" s="1662"/>
      <c r="JZ10" s="1662"/>
      <c r="KA10" s="1662"/>
      <c r="KB10" s="1662"/>
      <c r="KC10" s="1662"/>
      <c r="KD10" s="1662"/>
      <c r="KE10" s="1656" t="s">
        <v>373</v>
      </c>
      <c r="KF10" s="1657"/>
      <c r="KG10" s="1657"/>
      <c r="KH10" s="1657"/>
      <c r="KI10" s="1657"/>
      <c r="KJ10" s="1657"/>
      <c r="KK10" s="1657"/>
      <c r="KL10" s="1657"/>
      <c r="KM10" s="1657"/>
      <c r="KN10" s="1657"/>
      <c r="KO10" s="1653" t="s">
        <v>368</v>
      </c>
      <c r="KP10" s="1654"/>
      <c r="KQ10" s="1654"/>
      <c r="KR10" s="1654"/>
      <c r="KS10" s="1654"/>
      <c r="KT10" s="1654"/>
      <c r="KU10" s="1654"/>
      <c r="KV10" s="1655"/>
      <c r="KW10" s="1672" t="s">
        <v>623</v>
      </c>
      <c r="KX10" s="1673"/>
      <c r="KY10" s="1673"/>
      <c r="KZ10" s="1673"/>
      <c r="LA10" s="1653" t="s">
        <v>620</v>
      </c>
      <c r="LB10" s="1654"/>
      <c r="LC10" s="1654"/>
      <c r="LD10" s="1654"/>
      <c r="LE10" s="1654"/>
      <c r="LF10" s="1654"/>
      <c r="LG10" s="1654"/>
      <c r="LH10" s="1655"/>
      <c r="LI10" s="1667"/>
      <c r="LJ10" s="1677"/>
      <c r="LK10" s="1677"/>
      <c r="LL10" s="1677"/>
      <c r="LM10" s="1677"/>
      <c r="LN10" s="1677"/>
      <c r="LO10" s="1677"/>
      <c r="LP10" s="1668"/>
      <c r="LQ10" s="1656" t="s">
        <v>617</v>
      </c>
      <c r="LR10" s="1657"/>
      <c r="LS10" s="1657"/>
      <c r="LT10" s="1657"/>
      <c r="LU10" s="1657"/>
      <c r="LV10" s="1657"/>
      <c r="LW10" s="1657"/>
      <c r="LX10" s="1657"/>
      <c r="LY10" s="1656" t="s">
        <v>618</v>
      </c>
      <c r="LZ10" s="1657"/>
      <c r="MA10" s="1657"/>
      <c r="MB10" s="1657"/>
      <c r="MC10" s="1657"/>
      <c r="MD10" s="1657"/>
      <c r="ME10" s="1657"/>
      <c r="MF10" s="1658"/>
      <c r="MG10" s="1667"/>
      <c r="MH10" s="1677"/>
      <c r="MI10" s="1677"/>
      <c r="MJ10" s="1677"/>
      <c r="MK10" s="1677"/>
      <c r="ML10" s="1677"/>
      <c r="MM10" s="1677"/>
      <c r="MN10" s="1677"/>
      <c r="MO10" s="1677"/>
      <c r="MP10" s="1668"/>
      <c r="MQ10" s="1656" t="s">
        <v>605</v>
      </c>
      <c r="MR10" s="1657"/>
      <c r="MS10" s="1657"/>
      <c r="MT10" s="1657"/>
      <c r="MU10" s="1657"/>
      <c r="MV10" s="1657"/>
      <c r="MW10" s="1657"/>
      <c r="MX10" s="1657"/>
      <c r="MY10" s="1657"/>
      <c r="MZ10" s="1658"/>
      <c r="NA10" s="1656" t="s">
        <v>604</v>
      </c>
      <c r="NB10" s="1657"/>
      <c r="NC10" s="1657"/>
      <c r="ND10" s="1657"/>
      <c r="NE10" s="1657"/>
      <c r="NF10" s="1657"/>
      <c r="NG10" s="1657"/>
      <c r="NH10" s="1657"/>
      <c r="NI10" s="1657"/>
      <c r="NJ10" s="1658"/>
      <c r="NK10" s="1653" t="s">
        <v>570</v>
      </c>
      <c r="NL10" s="1654"/>
      <c r="NM10" s="1654"/>
      <c r="NN10" s="1654"/>
      <c r="NO10" s="1654"/>
      <c r="NP10" s="1655"/>
      <c r="NQ10" s="1653" t="s">
        <v>654</v>
      </c>
      <c r="NR10" s="1654"/>
      <c r="NS10" s="1654"/>
      <c r="NT10" s="1654"/>
      <c r="NU10" s="1654"/>
      <c r="NV10" s="1654"/>
      <c r="NW10" s="1654"/>
      <c r="NX10" s="1654"/>
      <c r="NY10" s="1654"/>
      <c r="NZ10" s="1654"/>
      <c r="OA10" s="1654"/>
      <c r="OB10" s="1654"/>
      <c r="OC10" s="1654"/>
      <c r="OD10" s="1655"/>
      <c r="OE10" s="1667"/>
      <c r="OF10" s="1677"/>
      <c r="OG10" s="1677"/>
      <c r="OH10" s="1677"/>
      <c r="OI10" s="1677"/>
      <c r="OJ10" s="1677"/>
      <c r="OK10" s="1677"/>
      <c r="OL10" s="1677"/>
      <c r="OM10" s="1677"/>
      <c r="ON10" s="1677"/>
      <c r="OO10" s="1677"/>
      <c r="OP10" s="1677"/>
      <c r="OQ10" s="1677"/>
      <c r="OR10" s="1668"/>
      <c r="OS10" s="1674" t="s">
        <v>610</v>
      </c>
      <c r="OT10" s="1675"/>
      <c r="OU10" s="1675"/>
      <c r="OV10" s="1675"/>
      <c r="OW10" s="1675"/>
      <c r="OX10" s="1675"/>
      <c r="OY10" s="1675"/>
      <c r="OZ10" s="1675"/>
      <c r="PA10" s="1675"/>
      <c r="PB10" s="1675"/>
      <c r="PC10" s="1675"/>
      <c r="PD10" s="1675"/>
      <c r="PE10" s="1675"/>
      <c r="PF10" s="1676"/>
      <c r="PG10" s="1674" t="s">
        <v>609</v>
      </c>
      <c r="PH10" s="1675"/>
      <c r="PI10" s="1675"/>
      <c r="PJ10" s="1675"/>
      <c r="PK10" s="1675"/>
      <c r="PL10" s="1675"/>
      <c r="PM10" s="1675"/>
      <c r="PN10" s="1675"/>
      <c r="PO10" s="1675"/>
      <c r="PP10" s="1675"/>
      <c r="PQ10" s="1675"/>
      <c r="PR10" s="1675"/>
      <c r="PS10" s="1675"/>
      <c r="PT10" s="1676"/>
      <c r="PU10" s="1653" t="s">
        <v>860</v>
      </c>
      <c r="PV10" s="1654"/>
      <c r="PW10" s="1654"/>
      <c r="PX10" s="1654"/>
      <c r="PY10" s="1654"/>
      <c r="PZ10" s="1655"/>
      <c r="QA10" s="1667"/>
      <c r="QB10" s="1677"/>
      <c r="QC10" s="1677"/>
      <c r="QD10" s="1677"/>
      <c r="QE10" s="1677"/>
      <c r="QF10" s="1668"/>
      <c r="QG10" s="1656" t="s">
        <v>861</v>
      </c>
      <c r="QH10" s="1657"/>
      <c r="QI10" s="1657"/>
      <c r="QJ10" s="1657"/>
      <c r="QK10" s="1657"/>
      <c r="QL10" s="1657"/>
      <c r="QM10" s="1656" t="s">
        <v>862</v>
      </c>
      <c r="QN10" s="1657"/>
      <c r="QO10" s="1657"/>
      <c r="QP10" s="1657"/>
      <c r="QQ10" s="1657"/>
      <c r="QR10" s="1658"/>
      <c r="QS10" s="1653" t="s">
        <v>363</v>
      </c>
      <c r="QT10" s="1655"/>
      <c r="QU10" s="1667"/>
      <c r="QV10" s="1668"/>
      <c r="QW10" s="1656" t="s">
        <v>360</v>
      </c>
      <c r="QX10" s="1658"/>
      <c r="QY10" s="1656" t="s">
        <v>361</v>
      </c>
      <c r="QZ10" s="1658"/>
      <c r="RA10" s="1683"/>
      <c r="RB10" s="1705"/>
      <c r="RC10" s="1664"/>
      <c r="RD10" s="1683"/>
      <c r="RE10" s="1685"/>
      <c r="RF10" s="1664"/>
      <c r="RG10" s="1653" t="s">
        <v>358</v>
      </c>
      <c r="RH10" s="1689"/>
      <c r="RI10" s="1653" t="s">
        <v>355</v>
      </c>
      <c r="RJ10" s="1660"/>
      <c r="RK10" s="1667" t="s">
        <v>352</v>
      </c>
      <c r="RL10" s="1668"/>
      <c r="RM10" s="1667"/>
      <c r="RN10" s="1668"/>
      <c r="RO10" s="1653" t="s">
        <v>347</v>
      </c>
      <c r="RP10" s="1655"/>
      <c r="RQ10" s="1653" t="s">
        <v>344</v>
      </c>
      <c r="RR10" s="1655"/>
      <c r="RS10" s="1653" t="s">
        <v>341</v>
      </c>
      <c r="RT10" s="1655"/>
      <c r="RU10" s="1653" t="s">
        <v>338</v>
      </c>
      <c r="RV10" s="1655"/>
      <c r="RW10" s="1653" t="s">
        <v>714</v>
      </c>
      <c r="RX10" s="1654"/>
      <c r="RY10" s="1654"/>
      <c r="RZ10" s="1654"/>
      <c r="SA10" s="1654"/>
      <c r="SB10" s="1655"/>
      <c r="SC10" s="1653" t="s">
        <v>732</v>
      </c>
      <c r="SD10" s="1655"/>
      <c r="SE10" s="1696" t="s">
        <v>335</v>
      </c>
      <c r="SF10" s="1697"/>
      <c r="SG10" s="1697"/>
      <c r="SH10" s="1697"/>
      <c r="SI10" s="1697"/>
      <c r="SJ10" s="1697"/>
      <c r="SK10" s="1669"/>
      <c r="SL10" s="1683"/>
      <c r="SM10" s="1653" t="s">
        <v>791</v>
      </c>
      <c r="SN10" s="1654"/>
      <c r="SO10" s="1654"/>
      <c r="SP10" s="1654"/>
      <c r="SQ10" s="1654"/>
      <c r="SR10" s="1655"/>
      <c r="SS10" s="1653" t="s">
        <v>870</v>
      </c>
      <c r="ST10" s="1654"/>
      <c r="SU10" s="1654"/>
      <c r="SV10" s="1654"/>
      <c r="SW10" s="1654"/>
      <c r="SX10" s="1655"/>
      <c r="SY10" s="1653" t="s">
        <v>511</v>
      </c>
      <c r="SZ10" s="1654"/>
      <c r="TA10" s="1654"/>
      <c r="TB10" s="1655"/>
      <c r="TC10" s="1701"/>
      <c r="TD10" s="1702"/>
      <c r="TE10" s="1702"/>
      <c r="TF10" s="1703"/>
      <c r="TG10" s="1693" t="s">
        <v>512</v>
      </c>
      <c r="TH10" s="1694"/>
      <c r="TI10" s="1693" t="s">
        <v>513</v>
      </c>
      <c r="TJ10" s="1695"/>
      <c r="TK10" s="1711" t="s">
        <v>745</v>
      </c>
      <c r="TL10" s="1712"/>
      <c r="TM10" s="1712"/>
      <c r="TN10" s="1712"/>
      <c r="TO10" s="1712"/>
      <c r="TP10" s="1713"/>
      <c r="TQ10" s="1667"/>
      <c r="TR10" s="1677"/>
      <c r="TS10" s="1677"/>
      <c r="TT10" s="1677"/>
      <c r="TU10" s="1677"/>
      <c r="TV10" s="1668"/>
      <c r="TW10" s="1674" t="s">
        <v>742</v>
      </c>
      <c r="TX10" s="1676"/>
      <c r="TY10" s="1674" t="s">
        <v>743</v>
      </c>
      <c r="TZ10" s="1676"/>
      <c r="UA10" s="1653" t="s">
        <v>546</v>
      </c>
      <c r="UB10" s="1654"/>
      <c r="UC10" s="1654"/>
      <c r="UD10" s="1654"/>
      <c r="UE10" s="1654"/>
      <c r="UF10" s="1655"/>
      <c r="UG10" s="1653" t="s">
        <v>552</v>
      </c>
      <c r="UH10" s="1654"/>
      <c r="UI10" s="1654"/>
      <c r="UJ10" s="1654"/>
      <c r="UK10" s="1654"/>
      <c r="UL10" s="1654"/>
      <c r="UM10" s="1654"/>
      <c r="UN10" s="1655"/>
      <c r="UO10" s="1653" t="s">
        <v>332</v>
      </c>
      <c r="UP10" s="1654"/>
      <c r="UQ10" s="1654"/>
      <c r="UR10" s="1654"/>
      <c r="US10" s="1654"/>
      <c r="UT10" s="1654"/>
      <c r="UU10" s="1654"/>
      <c r="UV10" s="1654"/>
      <c r="UW10" s="1654"/>
      <c r="UX10" s="1654"/>
      <c r="UY10" s="1654"/>
      <c r="UZ10" s="1654"/>
      <c r="VA10" s="1654"/>
      <c r="VB10" s="1655"/>
      <c r="VC10" s="1667"/>
      <c r="VD10" s="1677"/>
      <c r="VE10" s="1677"/>
      <c r="VF10" s="1677"/>
      <c r="VG10" s="1677"/>
      <c r="VH10" s="1668"/>
      <c r="VI10" s="1656" t="s">
        <v>329</v>
      </c>
      <c r="VJ10" s="1657"/>
      <c r="VK10" s="1657"/>
      <c r="VL10" s="1657"/>
      <c r="VM10" s="1657"/>
      <c r="VN10" s="1658"/>
      <c r="VO10" s="1656" t="s">
        <v>330</v>
      </c>
      <c r="VP10" s="1657"/>
      <c r="VQ10" s="1657"/>
      <c r="VR10" s="1657"/>
      <c r="VS10" s="1657"/>
      <c r="VT10" s="1658"/>
      <c r="VU10" s="1683"/>
      <c r="VV10" s="1683"/>
      <c r="VW10" s="1711" t="s">
        <v>68</v>
      </c>
      <c r="VX10" s="1713"/>
      <c r="VY10" s="1701"/>
      <c r="VZ10" s="1703"/>
      <c r="WA10" s="1693" t="s">
        <v>71</v>
      </c>
      <c r="WB10" s="1695"/>
      <c r="WC10" s="1693" t="s">
        <v>72</v>
      </c>
      <c r="WD10" s="1695"/>
      <c r="WE10" s="1718" t="s">
        <v>70</v>
      </c>
      <c r="WF10" s="1719"/>
      <c r="WG10" s="1701"/>
      <c r="WH10" s="1703"/>
      <c r="WI10" s="1693" t="s">
        <v>66</v>
      </c>
      <c r="WJ10" s="1695"/>
      <c r="WK10" s="1693" t="s">
        <v>67</v>
      </c>
      <c r="WL10" s="1695"/>
      <c r="WO10" s="72"/>
    </row>
    <row r="11" spans="1:613" s="643" customFormat="1" ht="25.5" customHeight="1" thickBot="1" x14ac:dyDescent="0.25">
      <c r="A11" s="1716"/>
      <c r="B11" s="634" t="s">
        <v>156</v>
      </c>
      <c r="C11" s="1018" t="s">
        <v>157</v>
      </c>
      <c r="D11" s="1683"/>
      <c r="E11" s="1683"/>
      <c r="F11" s="636" t="s">
        <v>156</v>
      </c>
      <c r="G11" s="940" t="s">
        <v>157</v>
      </c>
      <c r="H11" s="636" t="s">
        <v>156</v>
      </c>
      <c r="I11" s="939" t="s">
        <v>157</v>
      </c>
      <c r="J11" s="642" t="s">
        <v>156</v>
      </c>
      <c r="K11" s="635" t="s">
        <v>157</v>
      </c>
      <c r="L11" s="637" t="s">
        <v>156</v>
      </c>
      <c r="M11" s="635" t="s">
        <v>157</v>
      </c>
      <c r="N11" s="636" t="s">
        <v>156</v>
      </c>
      <c r="O11" s="940" t="s">
        <v>157</v>
      </c>
      <c r="P11" s="636" t="s">
        <v>156</v>
      </c>
      <c r="Q11" s="940" t="s">
        <v>157</v>
      </c>
      <c r="R11" s="635" t="s">
        <v>156</v>
      </c>
      <c r="S11" s="642" t="s">
        <v>157</v>
      </c>
      <c r="T11" s="637" t="s">
        <v>156</v>
      </c>
      <c r="U11" s="642" t="s">
        <v>157</v>
      </c>
      <c r="V11" s="636" t="s">
        <v>156</v>
      </c>
      <c r="W11" s="940" t="s">
        <v>157</v>
      </c>
      <c r="X11" s="673" t="s">
        <v>193</v>
      </c>
      <c r="Y11" s="638" t="s">
        <v>194</v>
      </c>
      <c r="Z11" s="673" t="s">
        <v>195</v>
      </c>
      <c r="AA11" s="636" t="s">
        <v>156</v>
      </c>
      <c r="AB11" s="633" t="s">
        <v>157</v>
      </c>
      <c r="AC11" s="638" t="s">
        <v>190</v>
      </c>
      <c r="AD11" s="673" t="s">
        <v>191</v>
      </c>
      <c r="AE11" s="642" t="s">
        <v>156</v>
      </c>
      <c r="AF11" s="635" t="s">
        <v>157</v>
      </c>
      <c r="AG11" s="637" t="s">
        <v>156</v>
      </c>
      <c r="AH11" s="747" t="s">
        <v>157</v>
      </c>
      <c r="AI11" s="1716"/>
      <c r="AJ11" s="1667"/>
      <c r="AK11" s="1163" t="s">
        <v>156</v>
      </c>
      <c r="AL11" s="968" t="s">
        <v>238</v>
      </c>
      <c r="AM11" s="672" t="s">
        <v>206</v>
      </c>
      <c r="AN11" s="673" t="s">
        <v>309</v>
      </c>
      <c r="AO11" s="729" t="s">
        <v>652</v>
      </c>
      <c r="AP11" s="1225" t="s">
        <v>807</v>
      </c>
      <c r="AQ11" s="636" t="s">
        <v>157</v>
      </c>
      <c r="AR11" s="645" t="s">
        <v>238</v>
      </c>
      <c r="AS11" s="640" t="s">
        <v>206</v>
      </c>
      <c r="AT11" s="986" t="s">
        <v>309</v>
      </c>
      <c r="AU11" s="872" t="s">
        <v>652</v>
      </c>
      <c r="AV11" s="729" t="s">
        <v>807</v>
      </c>
      <c r="AW11" s="1171" t="s">
        <v>156</v>
      </c>
      <c r="AX11" s="968" t="s">
        <v>238</v>
      </c>
      <c r="AY11" s="672" t="s">
        <v>206</v>
      </c>
      <c r="AZ11" s="783" t="s">
        <v>652</v>
      </c>
      <c r="BA11" s="636" t="s">
        <v>157</v>
      </c>
      <c r="BB11" s="651" t="s">
        <v>238</v>
      </c>
      <c r="BC11" s="672" t="s">
        <v>206</v>
      </c>
      <c r="BD11" s="783" t="s">
        <v>652</v>
      </c>
      <c r="BE11" s="639" t="s">
        <v>156</v>
      </c>
      <c r="BF11" s="759" t="s">
        <v>238</v>
      </c>
      <c r="BG11" s="873" t="s">
        <v>206</v>
      </c>
      <c r="BH11" s="729" t="s">
        <v>652</v>
      </c>
      <c r="BI11" s="639" t="s">
        <v>157</v>
      </c>
      <c r="BJ11" s="651" t="s">
        <v>238</v>
      </c>
      <c r="BK11" s="875" t="s">
        <v>206</v>
      </c>
      <c r="BL11" s="729" t="s">
        <v>652</v>
      </c>
      <c r="BM11" s="639" t="s">
        <v>156</v>
      </c>
      <c r="BN11" s="759" t="s">
        <v>238</v>
      </c>
      <c r="BO11" s="672" t="s">
        <v>206</v>
      </c>
      <c r="BP11" s="783" t="s">
        <v>652</v>
      </c>
      <c r="BQ11" s="639" t="s">
        <v>157</v>
      </c>
      <c r="BR11" s="759" t="s">
        <v>238</v>
      </c>
      <c r="BS11" s="672" t="s">
        <v>206</v>
      </c>
      <c r="BT11" s="783" t="s">
        <v>652</v>
      </c>
      <c r="BU11" s="636" t="s">
        <v>156</v>
      </c>
      <c r="BV11" s="1229" t="s">
        <v>207</v>
      </c>
      <c r="BW11" s="1227" t="s">
        <v>218</v>
      </c>
      <c r="BX11" s="1220" t="s">
        <v>736</v>
      </c>
      <c r="BY11" s="641" t="s">
        <v>656</v>
      </c>
      <c r="BZ11" s="1170" t="s">
        <v>157</v>
      </c>
      <c r="CA11" s="672" t="s">
        <v>207</v>
      </c>
      <c r="CB11" s="672" t="s">
        <v>218</v>
      </c>
      <c r="CC11" s="1220" t="s">
        <v>736</v>
      </c>
      <c r="CD11" s="641" t="s">
        <v>656</v>
      </c>
      <c r="CE11" s="1170" t="s">
        <v>156</v>
      </c>
      <c r="CF11" s="873" t="s">
        <v>207</v>
      </c>
      <c r="CG11" s="672" t="s">
        <v>218</v>
      </c>
      <c r="CH11" s="1220" t="s">
        <v>736</v>
      </c>
      <c r="CI11" s="1220" t="s">
        <v>656</v>
      </c>
      <c r="CJ11" s="1170" t="s">
        <v>157</v>
      </c>
      <c r="CK11" s="672" t="s">
        <v>207</v>
      </c>
      <c r="CL11" s="1241" t="s">
        <v>218</v>
      </c>
      <c r="CM11" s="1220" t="s">
        <v>736</v>
      </c>
      <c r="CN11" s="641" t="s">
        <v>656</v>
      </c>
      <c r="CO11" s="1000" t="s">
        <v>156</v>
      </c>
      <c r="CP11" s="642" t="s">
        <v>157</v>
      </c>
      <c r="CQ11" s="635" t="s">
        <v>156</v>
      </c>
      <c r="CR11" s="642" t="s">
        <v>157</v>
      </c>
      <c r="CS11" s="1170" t="s">
        <v>156</v>
      </c>
      <c r="CT11" s="1167" t="s">
        <v>157</v>
      </c>
      <c r="CU11" s="636" t="s">
        <v>156</v>
      </c>
      <c r="CV11" s="965" t="s">
        <v>157</v>
      </c>
      <c r="CW11" s="642" t="s">
        <v>156</v>
      </c>
      <c r="CX11" s="635" t="s">
        <v>157</v>
      </c>
      <c r="CY11" s="637" t="s">
        <v>156</v>
      </c>
      <c r="CZ11" s="635" t="s">
        <v>157</v>
      </c>
      <c r="DA11" s="1046" t="s">
        <v>156</v>
      </c>
      <c r="DB11" s="1170" t="s">
        <v>157</v>
      </c>
      <c r="DC11" s="1166" t="s">
        <v>156</v>
      </c>
      <c r="DD11" s="1170" t="s">
        <v>157</v>
      </c>
      <c r="DE11" s="994" t="s">
        <v>156</v>
      </c>
      <c r="DF11" s="637" t="s">
        <v>157</v>
      </c>
      <c r="DG11" s="995" t="s">
        <v>156</v>
      </c>
      <c r="DH11" s="637" t="s">
        <v>157</v>
      </c>
      <c r="DI11" s="1163" t="s">
        <v>156</v>
      </c>
      <c r="DJ11" s="1225" t="s">
        <v>827</v>
      </c>
      <c r="DK11" s="1225" t="s">
        <v>536</v>
      </c>
      <c r="DL11" s="988" t="s">
        <v>537</v>
      </c>
      <c r="DM11" s="636" t="s">
        <v>157</v>
      </c>
      <c r="DN11" s="1225" t="s">
        <v>827</v>
      </c>
      <c r="DO11" s="1225" t="s">
        <v>536</v>
      </c>
      <c r="DP11" s="988" t="s">
        <v>537</v>
      </c>
      <c r="DQ11" s="1165" t="s">
        <v>156</v>
      </c>
      <c r="DR11" s="729" t="s">
        <v>301</v>
      </c>
      <c r="DS11" s="783" t="s">
        <v>319</v>
      </c>
      <c r="DT11" s="794" t="s">
        <v>320</v>
      </c>
      <c r="DU11" s="783" t="s">
        <v>250</v>
      </c>
      <c r="DV11" s="794" t="s">
        <v>251</v>
      </c>
      <c r="DW11" s="783" t="s">
        <v>279</v>
      </c>
      <c r="DX11" s="1170" t="s">
        <v>157</v>
      </c>
      <c r="DY11" s="783" t="s">
        <v>301</v>
      </c>
      <c r="DZ11" s="729" t="s">
        <v>319</v>
      </c>
      <c r="EA11" s="794" t="s">
        <v>320</v>
      </c>
      <c r="EB11" s="729" t="s">
        <v>250</v>
      </c>
      <c r="EC11" s="794" t="s">
        <v>251</v>
      </c>
      <c r="ED11" s="729" t="s">
        <v>279</v>
      </c>
      <c r="EE11" s="1163" t="s">
        <v>156</v>
      </c>
      <c r="EF11" s="1225" t="s">
        <v>401</v>
      </c>
      <c r="EG11" s="988" t="s">
        <v>402</v>
      </c>
      <c r="EH11" s="636" t="s">
        <v>157</v>
      </c>
      <c r="EI11" s="1225" t="s">
        <v>401</v>
      </c>
      <c r="EJ11" s="1015" t="s">
        <v>402</v>
      </c>
      <c r="EK11" s="1165" t="s">
        <v>156</v>
      </c>
      <c r="EL11" s="675" t="s">
        <v>421</v>
      </c>
      <c r="EM11" s="687" t="s">
        <v>423</v>
      </c>
      <c r="EN11" s="1458" t="s">
        <v>452</v>
      </c>
      <c r="EO11" s="687" t="s">
        <v>818</v>
      </c>
      <c r="EP11" s="1456" t="s">
        <v>814</v>
      </c>
      <c r="EQ11" s="764" t="s">
        <v>815</v>
      </c>
      <c r="ER11" s="636" t="s">
        <v>157</v>
      </c>
      <c r="ES11" s="675" t="s">
        <v>421</v>
      </c>
      <c r="ET11" s="687" t="s">
        <v>423</v>
      </c>
      <c r="EU11" s="1458" t="s">
        <v>452</v>
      </c>
      <c r="EV11" s="687" t="s">
        <v>818</v>
      </c>
      <c r="EW11" s="1457" t="s">
        <v>814</v>
      </c>
      <c r="EX11" s="687" t="s">
        <v>815</v>
      </c>
      <c r="EY11" s="1163" t="s">
        <v>156</v>
      </c>
      <c r="EZ11" s="1225" t="s">
        <v>453</v>
      </c>
      <c r="FA11" s="988" t="s">
        <v>454</v>
      </c>
      <c r="FB11" s="636" t="s">
        <v>157</v>
      </c>
      <c r="FC11" s="1225" t="s">
        <v>453</v>
      </c>
      <c r="FD11" s="988" t="s">
        <v>454</v>
      </c>
      <c r="FE11" s="1163" t="s">
        <v>156</v>
      </c>
      <c r="FF11" s="1225" t="s">
        <v>441</v>
      </c>
      <c r="FG11" s="988" t="s">
        <v>442</v>
      </c>
      <c r="FH11" s="636" t="s">
        <v>157</v>
      </c>
      <c r="FI11" s="1225" t="s">
        <v>441</v>
      </c>
      <c r="FJ11" s="988" t="s">
        <v>442</v>
      </c>
      <c r="FK11" s="1163" t="s">
        <v>156</v>
      </c>
      <c r="FL11" s="1225" t="s">
        <v>410</v>
      </c>
      <c r="FM11" s="988" t="s">
        <v>411</v>
      </c>
      <c r="FN11" s="636" t="s">
        <v>157</v>
      </c>
      <c r="FO11" s="1225" t="s">
        <v>410</v>
      </c>
      <c r="FP11" s="1015" t="s">
        <v>411</v>
      </c>
      <c r="FQ11" s="1163" t="s">
        <v>156</v>
      </c>
      <c r="FR11" s="1225" t="s">
        <v>437</v>
      </c>
      <c r="FS11" s="988" t="s">
        <v>438</v>
      </c>
      <c r="FT11" s="636" t="s">
        <v>157</v>
      </c>
      <c r="FU11" s="1225" t="s">
        <v>437</v>
      </c>
      <c r="FV11" s="1015" t="s">
        <v>438</v>
      </c>
      <c r="FW11" s="1245" t="s">
        <v>156</v>
      </c>
      <c r="FX11" s="1225" t="s">
        <v>437</v>
      </c>
      <c r="FY11" s="988" t="s">
        <v>438</v>
      </c>
      <c r="FZ11" s="636" t="s">
        <v>157</v>
      </c>
      <c r="GA11" s="1225" t="s">
        <v>437</v>
      </c>
      <c r="GB11" s="1015" t="s">
        <v>438</v>
      </c>
      <c r="GC11" s="1153" t="s">
        <v>156</v>
      </c>
      <c r="GD11" s="639" t="s">
        <v>157</v>
      </c>
      <c r="GE11" s="1153" t="s">
        <v>156</v>
      </c>
      <c r="GF11" s="639" t="s">
        <v>157</v>
      </c>
      <c r="GG11" s="1246" t="s">
        <v>156</v>
      </c>
      <c r="GH11" s="1250" t="s">
        <v>700</v>
      </c>
      <c r="GI11" s="1122" t="s">
        <v>701</v>
      </c>
      <c r="GJ11" s="636" t="s">
        <v>157</v>
      </c>
      <c r="GK11" s="1250" t="s">
        <v>700</v>
      </c>
      <c r="GL11" s="1122" t="s">
        <v>701</v>
      </c>
      <c r="GM11" s="1163" t="s">
        <v>156</v>
      </c>
      <c r="GN11" s="1225" t="s">
        <v>834</v>
      </c>
      <c r="GO11" s="988" t="s">
        <v>835</v>
      </c>
      <c r="GP11" s="636" t="s">
        <v>157</v>
      </c>
      <c r="GQ11" s="1225" t="s">
        <v>834</v>
      </c>
      <c r="GR11" s="988" t="s">
        <v>835</v>
      </c>
      <c r="GS11" s="1163" t="s">
        <v>156</v>
      </c>
      <c r="GT11" s="1225" t="s">
        <v>834</v>
      </c>
      <c r="GU11" s="988" t="s">
        <v>835</v>
      </c>
      <c r="GV11" s="636" t="s">
        <v>157</v>
      </c>
      <c r="GW11" s="1225" t="s">
        <v>834</v>
      </c>
      <c r="GX11" s="988" t="s">
        <v>835</v>
      </c>
      <c r="GY11" s="1168" t="s">
        <v>156</v>
      </c>
      <c r="GZ11" s="1225" t="s">
        <v>529</v>
      </c>
      <c r="HA11" s="988" t="s">
        <v>530</v>
      </c>
      <c r="HB11" s="639" t="s">
        <v>157</v>
      </c>
      <c r="HC11" s="1225" t="s">
        <v>529</v>
      </c>
      <c r="HD11" s="1122" t="s">
        <v>530</v>
      </c>
      <c r="HE11" s="1168" t="s">
        <v>156</v>
      </c>
      <c r="HF11" s="1225" t="s">
        <v>529</v>
      </c>
      <c r="HG11" s="988" t="s">
        <v>530</v>
      </c>
      <c r="HH11" s="639" t="s">
        <v>157</v>
      </c>
      <c r="HI11" s="1225" t="s">
        <v>529</v>
      </c>
      <c r="HJ11" s="1122" t="s">
        <v>530</v>
      </c>
      <c r="HK11" s="1165" t="s">
        <v>156</v>
      </c>
      <c r="HL11" s="649" t="s">
        <v>292</v>
      </c>
      <c r="HM11" s="787" t="s">
        <v>293</v>
      </c>
      <c r="HN11" s="1170" t="s">
        <v>157</v>
      </c>
      <c r="HO11" s="651" t="s">
        <v>292</v>
      </c>
      <c r="HP11" s="795" t="s">
        <v>293</v>
      </c>
      <c r="HQ11" s="1164" t="s">
        <v>156</v>
      </c>
      <c r="HR11" s="649" t="s">
        <v>289</v>
      </c>
      <c r="HS11" s="787" t="s">
        <v>290</v>
      </c>
      <c r="HT11" s="636" t="s">
        <v>157</v>
      </c>
      <c r="HU11" s="649" t="s">
        <v>289</v>
      </c>
      <c r="HV11" s="787" t="s">
        <v>290</v>
      </c>
      <c r="HW11" s="636" t="s">
        <v>156</v>
      </c>
      <c r="HX11" s="649" t="s">
        <v>289</v>
      </c>
      <c r="HY11" s="787" t="s">
        <v>290</v>
      </c>
      <c r="HZ11" s="636" t="s">
        <v>157</v>
      </c>
      <c r="IA11" s="649" t="s">
        <v>289</v>
      </c>
      <c r="IB11" s="787" t="s">
        <v>290</v>
      </c>
      <c r="IC11" s="1597" t="s">
        <v>289</v>
      </c>
      <c r="ID11" s="1597" t="s">
        <v>290</v>
      </c>
      <c r="IE11" s="639" t="s">
        <v>156</v>
      </c>
      <c r="IF11" s="649" t="s">
        <v>289</v>
      </c>
      <c r="IG11" s="787" t="s">
        <v>290</v>
      </c>
      <c r="IH11" s="1168" t="s">
        <v>157</v>
      </c>
      <c r="II11" s="649" t="s">
        <v>289</v>
      </c>
      <c r="IJ11" s="787" t="s">
        <v>290</v>
      </c>
      <c r="IK11" s="639" t="s">
        <v>156</v>
      </c>
      <c r="IL11" s="649" t="s">
        <v>289</v>
      </c>
      <c r="IM11" s="787" t="s">
        <v>290</v>
      </c>
      <c r="IN11" s="1169" t="s">
        <v>157</v>
      </c>
      <c r="IO11" s="649" t="s">
        <v>284</v>
      </c>
      <c r="IP11" s="787" t="s">
        <v>285</v>
      </c>
      <c r="IQ11" s="1163" t="s">
        <v>156</v>
      </c>
      <c r="IR11" s="649" t="s">
        <v>939</v>
      </c>
      <c r="IS11" s="787" t="s">
        <v>928</v>
      </c>
      <c r="IT11" s="786" t="s">
        <v>406</v>
      </c>
      <c r="IU11" s="787" t="s">
        <v>407</v>
      </c>
      <c r="IV11" s="968" t="s">
        <v>750</v>
      </c>
      <c r="IW11" s="1261" t="s">
        <v>751</v>
      </c>
      <c r="IX11" s="836" t="s">
        <v>723</v>
      </c>
      <c r="IY11" s="787" t="s">
        <v>724</v>
      </c>
      <c r="IZ11" s="649" t="s">
        <v>729</v>
      </c>
      <c r="JA11" s="636" t="s">
        <v>157</v>
      </c>
      <c r="JB11" s="649" t="s">
        <v>939</v>
      </c>
      <c r="JC11" s="787" t="s">
        <v>928</v>
      </c>
      <c r="JD11" s="786" t="s">
        <v>406</v>
      </c>
      <c r="JE11" s="787" t="s">
        <v>407</v>
      </c>
      <c r="JF11" s="651" t="s">
        <v>750</v>
      </c>
      <c r="JG11" s="795" t="s">
        <v>751</v>
      </c>
      <c r="JH11" s="786" t="s">
        <v>723</v>
      </c>
      <c r="JI11" s="787" t="s">
        <v>724</v>
      </c>
      <c r="JJ11" s="649" t="s">
        <v>729</v>
      </c>
      <c r="JK11" s="1164" t="s">
        <v>156</v>
      </c>
      <c r="JL11" s="649" t="s">
        <v>939</v>
      </c>
      <c r="JM11" s="787" t="s">
        <v>928</v>
      </c>
      <c r="JN11" s="786" t="s">
        <v>406</v>
      </c>
      <c r="JO11" s="787" t="s">
        <v>407</v>
      </c>
      <c r="JP11" s="636" t="s">
        <v>157</v>
      </c>
      <c r="JQ11" s="649" t="s">
        <v>939</v>
      </c>
      <c r="JR11" s="787" t="s">
        <v>928</v>
      </c>
      <c r="JS11" s="786" t="s">
        <v>406</v>
      </c>
      <c r="JT11" s="787" t="s">
        <v>407</v>
      </c>
      <c r="JU11" s="1168" t="s">
        <v>156</v>
      </c>
      <c r="JV11" s="649" t="s">
        <v>939</v>
      </c>
      <c r="JW11" s="787" t="s">
        <v>928</v>
      </c>
      <c r="JX11" s="786" t="s">
        <v>406</v>
      </c>
      <c r="JY11" s="787" t="s">
        <v>407</v>
      </c>
      <c r="JZ11" s="1168" t="s">
        <v>157</v>
      </c>
      <c r="KA11" s="649" t="s">
        <v>939</v>
      </c>
      <c r="KB11" s="787" t="s">
        <v>928</v>
      </c>
      <c r="KC11" s="786" t="s">
        <v>406</v>
      </c>
      <c r="KD11" s="787" t="s">
        <v>407</v>
      </c>
      <c r="KE11" s="639" t="s">
        <v>156</v>
      </c>
      <c r="KF11" s="649" t="s">
        <v>939</v>
      </c>
      <c r="KG11" s="787" t="s">
        <v>928</v>
      </c>
      <c r="KH11" s="786" t="s">
        <v>406</v>
      </c>
      <c r="KI11" s="787" t="s">
        <v>407</v>
      </c>
      <c r="KJ11" s="819" t="s">
        <v>157</v>
      </c>
      <c r="KK11" s="649" t="s">
        <v>939</v>
      </c>
      <c r="KL11" s="787" t="s">
        <v>928</v>
      </c>
      <c r="KM11" s="786" t="s">
        <v>406</v>
      </c>
      <c r="KN11" s="787" t="s">
        <v>407</v>
      </c>
      <c r="KO11" s="1260" t="s">
        <v>156</v>
      </c>
      <c r="KP11" s="641" t="s">
        <v>396</v>
      </c>
      <c r="KQ11" s="837" t="s">
        <v>397</v>
      </c>
      <c r="KR11" s="641" t="s">
        <v>705</v>
      </c>
      <c r="KS11" s="636" t="s">
        <v>157</v>
      </c>
      <c r="KT11" s="641" t="s">
        <v>396</v>
      </c>
      <c r="KU11" s="784" t="s">
        <v>397</v>
      </c>
      <c r="KV11" s="641" t="s">
        <v>705</v>
      </c>
      <c r="KW11" s="1163" t="s">
        <v>156</v>
      </c>
      <c r="KX11" s="1432" t="s">
        <v>708</v>
      </c>
      <c r="KY11" s="636" t="s">
        <v>157</v>
      </c>
      <c r="KZ11" s="1252" t="s">
        <v>708</v>
      </c>
      <c r="LA11" s="636" t="s">
        <v>156</v>
      </c>
      <c r="LB11" s="836" t="s">
        <v>575</v>
      </c>
      <c r="LC11" s="787" t="s">
        <v>576</v>
      </c>
      <c r="LD11" s="649" t="s">
        <v>660</v>
      </c>
      <c r="LE11" s="636" t="s">
        <v>157</v>
      </c>
      <c r="LF11" s="836" t="s">
        <v>575</v>
      </c>
      <c r="LG11" s="787" t="s">
        <v>576</v>
      </c>
      <c r="LH11" s="649" t="s">
        <v>660</v>
      </c>
      <c r="LI11" s="636" t="s">
        <v>156</v>
      </c>
      <c r="LJ11" s="836" t="s">
        <v>575</v>
      </c>
      <c r="LK11" s="787" t="s">
        <v>576</v>
      </c>
      <c r="LL11" s="649" t="s">
        <v>660</v>
      </c>
      <c r="LM11" s="1164" t="s">
        <v>157</v>
      </c>
      <c r="LN11" s="649" t="s">
        <v>575</v>
      </c>
      <c r="LO11" s="787" t="s">
        <v>576</v>
      </c>
      <c r="LP11" s="649" t="s">
        <v>660</v>
      </c>
      <c r="LQ11" s="639" t="s">
        <v>156</v>
      </c>
      <c r="LR11" s="836" t="s">
        <v>575</v>
      </c>
      <c r="LS11" s="787" t="s">
        <v>576</v>
      </c>
      <c r="LT11" s="649" t="s">
        <v>660</v>
      </c>
      <c r="LU11" s="639" t="s">
        <v>157</v>
      </c>
      <c r="LV11" s="836" t="s">
        <v>575</v>
      </c>
      <c r="LW11" s="787" t="s">
        <v>576</v>
      </c>
      <c r="LX11" s="649" t="s">
        <v>660</v>
      </c>
      <c r="LY11" s="1168" t="s">
        <v>156</v>
      </c>
      <c r="LZ11" s="649" t="s">
        <v>575</v>
      </c>
      <c r="MA11" s="787" t="s">
        <v>576</v>
      </c>
      <c r="MB11" s="649" t="s">
        <v>660</v>
      </c>
      <c r="MC11" s="639" t="s">
        <v>157</v>
      </c>
      <c r="MD11" s="836" t="s">
        <v>575</v>
      </c>
      <c r="ME11" s="787" t="s">
        <v>576</v>
      </c>
      <c r="MF11" s="649" t="s">
        <v>660</v>
      </c>
      <c r="MG11" s="1170" t="s">
        <v>476</v>
      </c>
      <c r="MH11" s="1415" t="s">
        <v>581</v>
      </c>
      <c r="MI11" s="687" t="s">
        <v>603</v>
      </c>
      <c r="MJ11" s="1605" t="s">
        <v>849</v>
      </c>
      <c r="MK11" s="1228" t="s">
        <v>907</v>
      </c>
      <c r="ML11" s="1170" t="s">
        <v>157</v>
      </c>
      <c r="MM11" s="638" t="s">
        <v>581</v>
      </c>
      <c r="MN11" s="764" t="s">
        <v>603</v>
      </c>
      <c r="MO11" s="1604" t="s">
        <v>849</v>
      </c>
      <c r="MP11" s="687" t="s">
        <v>907</v>
      </c>
      <c r="MQ11" s="819" t="s">
        <v>476</v>
      </c>
      <c r="MR11" s="638" t="s">
        <v>581</v>
      </c>
      <c r="MS11" s="764" t="s">
        <v>603</v>
      </c>
      <c r="MT11" s="1604" t="s">
        <v>849</v>
      </c>
      <c r="MU11" s="687" t="s">
        <v>907</v>
      </c>
      <c r="MV11" s="819" t="s">
        <v>157</v>
      </c>
      <c r="MW11" s="638" t="s">
        <v>581</v>
      </c>
      <c r="MX11" s="764" t="s">
        <v>603</v>
      </c>
      <c r="MY11" s="1604" t="s">
        <v>849</v>
      </c>
      <c r="MZ11" s="687" t="s">
        <v>907</v>
      </c>
      <c r="NA11" s="819" t="s">
        <v>476</v>
      </c>
      <c r="NB11" s="675" t="s">
        <v>581</v>
      </c>
      <c r="NC11" s="687" t="s">
        <v>603</v>
      </c>
      <c r="ND11" s="1605" t="s">
        <v>849</v>
      </c>
      <c r="NE11" s="1228" t="s">
        <v>907</v>
      </c>
      <c r="NF11" s="819" t="s">
        <v>157</v>
      </c>
      <c r="NG11" s="638" t="s">
        <v>581</v>
      </c>
      <c r="NH11" s="764" t="s">
        <v>603</v>
      </c>
      <c r="NI11" s="1604" t="s">
        <v>849</v>
      </c>
      <c r="NJ11" s="687" t="s">
        <v>907</v>
      </c>
      <c r="NK11" s="1163" t="s">
        <v>156</v>
      </c>
      <c r="NL11" s="1225" t="s">
        <v>446</v>
      </c>
      <c r="NM11" s="988" t="s">
        <v>447</v>
      </c>
      <c r="NN11" s="636" t="s">
        <v>157</v>
      </c>
      <c r="NO11" s="1225" t="s">
        <v>446</v>
      </c>
      <c r="NP11" s="988" t="s">
        <v>447</v>
      </c>
      <c r="NQ11" s="1165" t="s">
        <v>476</v>
      </c>
      <c r="NR11" s="675" t="s">
        <v>664</v>
      </c>
      <c r="NS11" s="1476" t="s">
        <v>665</v>
      </c>
      <c r="NT11" s="1475" t="s">
        <v>810</v>
      </c>
      <c r="NU11" s="687" t="s">
        <v>810</v>
      </c>
      <c r="NV11" s="1415" t="s">
        <v>583</v>
      </c>
      <c r="NW11" s="687" t="s">
        <v>608</v>
      </c>
      <c r="NX11" s="1170" t="s">
        <v>157</v>
      </c>
      <c r="NY11" s="675" t="s">
        <v>664</v>
      </c>
      <c r="NZ11" s="687" t="s">
        <v>665</v>
      </c>
      <c r="OA11" s="1475" t="s">
        <v>810</v>
      </c>
      <c r="OB11" s="687" t="s">
        <v>810</v>
      </c>
      <c r="OC11" s="1244" t="s">
        <v>583</v>
      </c>
      <c r="OD11" s="687" t="s">
        <v>608</v>
      </c>
      <c r="OE11" s="1414" t="s">
        <v>476</v>
      </c>
      <c r="OF11" s="675" t="s">
        <v>580</v>
      </c>
      <c r="OG11" s="687" t="s">
        <v>607</v>
      </c>
      <c r="OH11" s="673" t="s">
        <v>664</v>
      </c>
      <c r="OI11" s="687" t="s">
        <v>665</v>
      </c>
      <c r="OJ11" s="673" t="s">
        <v>583</v>
      </c>
      <c r="OK11" s="687" t="s">
        <v>608</v>
      </c>
      <c r="OL11" s="1170" t="s">
        <v>157</v>
      </c>
      <c r="OM11" s="638" t="s">
        <v>580</v>
      </c>
      <c r="ON11" s="764" t="s">
        <v>607</v>
      </c>
      <c r="OO11" s="675" t="s">
        <v>664</v>
      </c>
      <c r="OP11" s="687" t="s">
        <v>665</v>
      </c>
      <c r="OQ11" s="638" t="s">
        <v>583</v>
      </c>
      <c r="OR11" s="764" t="s">
        <v>608</v>
      </c>
      <c r="OS11" s="819" t="s">
        <v>476</v>
      </c>
      <c r="OT11" s="675" t="s">
        <v>580</v>
      </c>
      <c r="OU11" s="687" t="s">
        <v>607</v>
      </c>
      <c r="OV11" s="675" t="s">
        <v>664</v>
      </c>
      <c r="OW11" s="687" t="s">
        <v>665</v>
      </c>
      <c r="OX11" s="673" t="s">
        <v>583</v>
      </c>
      <c r="OY11" s="687" t="s">
        <v>608</v>
      </c>
      <c r="OZ11" s="819" t="s">
        <v>157</v>
      </c>
      <c r="PA11" s="638" t="s">
        <v>580</v>
      </c>
      <c r="PB11" s="764" t="s">
        <v>607</v>
      </c>
      <c r="PC11" s="675" t="s">
        <v>664</v>
      </c>
      <c r="PD11" s="687" t="s">
        <v>665</v>
      </c>
      <c r="PE11" s="638" t="s">
        <v>583</v>
      </c>
      <c r="PF11" s="764" t="s">
        <v>608</v>
      </c>
      <c r="PG11" s="819" t="s">
        <v>476</v>
      </c>
      <c r="PH11" s="675" t="s">
        <v>580</v>
      </c>
      <c r="PI11" s="687" t="s">
        <v>607</v>
      </c>
      <c r="PJ11" s="673" t="s">
        <v>664</v>
      </c>
      <c r="PK11" s="687" t="s">
        <v>665</v>
      </c>
      <c r="PL11" s="673" t="s">
        <v>583</v>
      </c>
      <c r="PM11" s="687" t="s">
        <v>608</v>
      </c>
      <c r="PN11" s="819" t="s">
        <v>157</v>
      </c>
      <c r="PO11" s="638" t="s">
        <v>580</v>
      </c>
      <c r="PP11" s="764" t="s">
        <v>607</v>
      </c>
      <c r="PQ11" s="675" t="s">
        <v>664</v>
      </c>
      <c r="PR11" s="687" t="s">
        <v>665</v>
      </c>
      <c r="PS11" s="638" t="s">
        <v>583</v>
      </c>
      <c r="PT11" s="764" t="s">
        <v>608</v>
      </c>
      <c r="PU11" s="1571" t="s">
        <v>156</v>
      </c>
      <c r="PV11" s="649" t="s">
        <v>863</v>
      </c>
      <c r="PW11" s="1580" t="s">
        <v>864</v>
      </c>
      <c r="PX11" s="636" t="s">
        <v>157</v>
      </c>
      <c r="PY11" s="649" t="s">
        <v>863</v>
      </c>
      <c r="PZ11" s="787" t="s">
        <v>864</v>
      </c>
      <c r="QA11" s="1572" t="s">
        <v>156</v>
      </c>
      <c r="QB11" s="649" t="s">
        <v>863</v>
      </c>
      <c r="QC11" s="1580" t="s">
        <v>864</v>
      </c>
      <c r="QD11" s="636" t="s">
        <v>157</v>
      </c>
      <c r="QE11" s="649" t="s">
        <v>863</v>
      </c>
      <c r="QF11" s="787" t="s">
        <v>864</v>
      </c>
      <c r="QG11" s="1573" t="s">
        <v>156</v>
      </c>
      <c r="QH11" s="649" t="s">
        <v>863</v>
      </c>
      <c r="QI11" s="1580" t="s">
        <v>864</v>
      </c>
      <c r="QJ11" s="637" t="s">
        <v>157</v>
      </c>
      <c r="QK11" s="649" t="s">
        <v>863</v>
      </c>
      <c r="QL11" s="1580" t="s">
        <v>864</v>
      </c>
      <c r="QM11" s="1573" t="s">
        <v>156</v>
      </c>
      <c r="QN11" s="649" t="s">
        <v>863</v>
      </c>
      <c r="QO11" s="1580" t="s">
        <v>864</v>
      </c>
      <c r="QP11" s="639" t="s">
        <v>157</v>
      </c>
      <c r="QQ11" s="649" t="s">
        <v>863</v>
      </c>
      <c r="QR11" s="787" t="s">
        <v>864</v>
      </c>
      <c r="QS11" s="636" t="s">
        <v>156</v>
      </c>
      <c r="QT11" s="636" t="s">
        <v>157</v>
      </c>
      <c r="QU11" s="632" t="s">
        <v>156</v>
      </c>
      <c r="QV11" s="636" t="s">
        <v>157</v>
      </c>
      <c r="QW11" s="635" t="s">
        <v>156</v>
      </c>
      <c r="QX11" s="642" t="s">
        <v>157</v>
      </c>
      <c r="QY11" s="635" t="s">
        <v>156</v>
      </c>
      <c r="QZ11" s="642" t="s">
        <v>157</v>
      </c>
      <c r="RA11" s="1683"/>
      <c r="RB11" s="1705"/>
      <c r="RC11" s="1664"/>
      <c r="RD11" s="1683"/>
      <c r="RE11" s="1686"/>
      <c r="RF11" s="1681"/>
      <c r="RG11" s="823" t="s">
        <v>156</v>
      </c>
      <c r="RH11" s="235" t="s">
        <v>157</v>
      </c>
      <c r="RI11" s="235" t="s">
        <v>156</v>
      </c>
      <c r="RJ11" s="235" t="s">
        <v>157</v>
      </c>
      <c r="RK11" s="235" t="s">
        <v>156</v>
      </c>
      <c r="RL11" s="235" t="s">
        <v>157</v>
      </c>
      <c r="RM11" s="824" t="s">
        <v>156</v>
      </c>
      <c r="RN11" s="235" t="s">
        <v>157</v>
      </c>
      <c r="RO11" s="824" t="s">
        <v>156</v>
      </c>
      <c r="RP11" s="235" t="s">
        <v>157</v>
      </c>
      <c r="RQ11" s="823" t="s">
        <v>156</v>
      </c>
      <c r="RR11" s="235" t="s">
        <v>157</v>
      </c>
      <c r="RS11" s="824" t="s">
        <v>156</v>
      </c>
      <c r="RT11" s="235" t="s">
        <v>157</v>
      </c>
      <c r="RU11" s="236" t="s">
        <v>156</v>
      </c>
      <c r="RV11" s="235" t="s">
        <v>157</v>
      </c>
      <c r="RW11" s="236" t="s">
        <v>156</v>
      </c>
      <c r="RX11" s="641" t="s">
        <v>715</v>
      </c>
      <c r="RY11" s="1228" t="s">
        <v>716</v>
      </c>
      <c r="RZ11" s="235" t="s">
        <v>157</v>
      </c>
      <c r="SA11" s="1252" t="s">
        <v>715</v>
      </c>
      <c r="SB11" s="1228" t="s">
        <v>716</v>
      </c>
      <c r="SC11" s="235" t="s">
        <v>156</v>
      </c>
      <c r="SD11" s="235" t="s">
        <v>157</v>
      </c>
      <c r="SE11" s="235" t="s">
        <v>156</v>
      </c>
      <c r="SF11" s="1212" t="s">
        <v>188</v>
      </c>
      <c r="SG11" s="1560" t="s">
        <v>187</v>
      </c>
      <c r="SH11" s="233" t="s">
        <v>157</v>
      </c>
      <c r="SI11" s="896" t="s">
        <v>188</v>
      </c>
      <c r="SJ11" s="1634" t="s">
        <v>187</v>
      </c>
      <c r="SK11" s="1669"/>
      <c r="SL11" s="1683"/>
      <c r="SM11" s="235" t="s">
        <v>156</v>
      </c>
      <c r="SN11" s="1045" t="s">
        <v>792</v>
      </c>
      <c r="SO11" s="1418" t="s">
        <v>792</v>
      </c>
      <c r="SP11" s="235" t="s">
        <v>157</v>
      </c>
      <c r="SQ11" s="1045" t="s">
        <v>792</v>
      </c>
      <c r="SR11" s="1418" t="s">
        <v>792</v>
      </c>
      <c r="SS11" s="235" t="s">
        <v>156</v>
      </c>
      <c r="ST11" s="1418" t="s">
        <v>865</v>
      </c>
      <c r="SU11" s="1291" t="s">
        <v>930</v>
      </c>
      <c r="SV11" s="233" t="s">
        <v>157</v>
      </c>
      <c r="SW11" s="1291" t="s">
        <v>865</v>
      </c>
      <c r="SX11" s="1291" t="s">
        <v>930</v>
      </c>
      <c r="SY11" s="233" t="s">
        <v>156</v>
      </c>
      <c r="SZ11" s="1011" t="s">
        <v>824</v>
      </c>
      <c r="TA11" s="233" t="s">
        <v>157</v>
      </c>
      <c r="TB11" s="998" t="s">
        <v>824</v>
      </c>
      <c r="TC11" s="236" t="s">
        <v>156</v>
      </c>
      <c r="TD11" s="998" t="s">
        <v>824</v>
      </c>
      <c r="TE11" s="233" t="s">
        <v>157</v>
      </c>
      <c r="TF11" s="998" t="s">
        <v>824</v>
      </c>
      <c r="TG11" s="296" t="s">
        <v>156</v>
      </c>
      <c r="TH11" s="298" t="s">
        <v>157</v>
      </c>
      <c r="TI11" s="1085" t="s">
        <v>156</v>
      </c>
      <c r="TJ11" s="298" t="s">
        <v>157</v>
      </c>
      <c r="TK11" s="233" t="s">
        <v>156</v>
      </c>
      <c r="TL11" s="1290" t="s">
        <v>738</v>
      </c>
      <c r="TM11" s="1291" t="s">
        <v>855</v>
      </c>
      <c r="TN11" s="233" t="s">
        <v>157</v>
      </c>
      <c r="TO11" s="1290" t="s">
        <v>738</v>
      </c>
      <c r="TP11" s="1291" t="s">
        <v>855</v>
      </c>
      <c r="TQ11" s="233" t="s">
        <v>156</v>
      </c>
      <c r="TR11" s="1290" t="s">
        <v>738</v>
      </c>
      <c r="TS11" s="1291" t="s">
        <v>856</v>
      </c>
      <c r="TT11" s="233" t="s">
        <v>157</v>
      </c>
      <c r="TU11" s="1292" t="s">
        <v>738</v>
      </c>
      <c r="TV11" s="1291" t="s">
        <v>855</v>
      </c>
      <c r="TW11" s="1293" t="s">
        <v>156</v>
      </c>
      <c r="TX11" s="1294" t="s">
        <v>157</v>
      </c>
      <c r="TY11" s="1293" t="s">
        <v>156</v>
      </c>
      <c r="TZ11" s="1294" t="s">
        <v>157</v>
      </c>
      <c r="UA11" s="235" t="s">
        <v>156</v>
      </c>
      <c r="UB11" s="1132" t="s">
        <v>547</v>
      </c>
      <c r="UC11" s="998" t="s">
        <v>548</v>
      </c>
      <c r="UD11" s="235" t="s">
        <v>157</v>
      </c>
      <c r="UE11" s="1132" t="s">
        <v>547</v>
      </c>
      <c r="UF11" s="998" t="s">
        <v>548</v>
      </c>
      <c r="UG11" s="235" t="s">
        <v>156</v>
      </c>
      <c r="UH11" s="1132" t="s">
        <v>553</v>
      </c>
      <c r="UI11" s="998" t="s">
        <v>554</v>
      </c>
      <c r="UJ11" s="998" t="s">
        <v>914</v>
      </c>
      <c r="UK11" s="235" t="s">
        <v>157</v>
      </c>
      <c r="UL11" s="1132" t="s">
        <v>553</v>
      </c>
      <c r="UM11" s="998" t="s">
        <v>554</v>
      </c>
      <c r="UN11" s="998" t="s">
        <v>914</v>
      </c>
      <c r="UO11" s="235" t="s">
        <v>897</v>
      </c>
      <c r="UP11" s="1205" t="s">
        <v>841</v>
      </c>
      <c r="UQ11" s="879" t="s">
        <v>841</v>
      </c>
      <c r="UR11" s="1505" t="s">
        <v>832</v>
      </c>
      <c r="US11" s="1103" t="s">
        <v>525</v>
      </c>
      <c r="UT11" s="451" t="s">
        <v>872</v>
      </c>
      <c r="UU11" s="1505" t="s">
        <v>839</v>
      </c>
      <c r="UV11" s="235" t="s">
        <v>157</v>
      </c>
      <c r="UW11" s="1205" t="s">
        <v>841</v>
      </c>
      <c r="UX11" s="879" t="s">
        <v>841</v>
      </c>
      <c r="UY11" s="1505" t="s">
        <v>832</v>
      </c>
      <c r="UZ11" s="1104" t="s">
        <v>525</v>
      </c>
      <c r="VA11" s="451" t="s">
        <v>872</v>
      </c>
      <c r="VB11" s="1505" t="s">
        <v>839</v>
      </c>
      <c r="VC11" s="235" t="s">
        <v>156</v>
      </c>
      <c r="VD11" s="451" t="s">
        <v>525</v>
      </c>
      <c r="VE11" s="829" t="s">
        <v>831</v>
      </c>
      <c r="VF11" s="233" t="s">
        <v>157</v>
      </c>
      <c r="VG11" s="451" t="s">
        <v>525</v>
      </c>
      <c r="VH11" s="451" t="s">
        <v>831</v>
      </c>
      <c r="VI11" s="297" t="s">
        <v>156</v>
      </c>
      <c r="VJ11" s="451" t="s">
        <v>525</v>
      </c>
      <c r="VK11" s="451" t="s">
        <v>831</v>
      </c>
      <c r="VL11" s="297" t="s">
        <v>157</v>
      </c>
      <c r="VM11" s="451" t="s">
        <v>525</v>
      </c>
      <c r="VN11" s="451" t="s">
        <v>831</v>
      </c>
      <c r="VO11" s="448" t="s">
        <v>156</v>
      </c>
      <c r="VP11" s="1491" t="s">
        <v>525</v>
      </c>
      <c r="VQ11" s="829" t="s">
        <v>831</v>
      </c>
      <c r="VR11" s="1493" t="s">
        <v>157</v>
      </c>
      <c r="VS11" s="1488" t="s">
        <v>525</v>
      </c>
      <c r="VT11" s="451" t="s">
        <v>831</v>
      </c>
      <c r="VU11" s="1716"/>
      <c r="VV11" s="1716"/>
      <c r="VW11" s="234" t="s">
        <v>156</v>
      </c>
      <c r="VX11" s="235" t="s">
        <v>157</v>
      </c>
      <c r="VY11" s="234" t="s">
        <v>156</v>
      </c>
      <c r="VZ11" s="235" t="s">
        <v>157</v>
      </c>
      <c r="WA11" s="296" t="s">
        <v>156</v>
      </c>
      <c r="WB11" s="298" t="s">
        <v>157</v>
      </c>
      <c r="WC11" s="296" t="s">
        <v>156</v>
      </c>
      <c r="WD11" s="297" t="s">
        <v>157</v>
      </c>
      <c r="WE11" s="220" t="s">
        <v>156</v>
      </c>
      <c r="WF11" s="235" t="s">
        <v>157</v>
      </c>
      <c r="WG11" s="234" t="s">
        <v>156</v>
      </c>
      <c r="WH11" s="233" t="s">
        <v>157</v>
      </c>
      <c r="WI11" s="297" t="s">
        <v>156</v>
      </c>
      <c r="WJ11" s="297" t="s">
        <v>157</v>
      </c>
      <c r="WK11" s="297" t="s">
        <v>156</v>
      </c>
      <c r="WL11" s="297" t="s">
        <v>157</v>
      </c>
      <c r="WM11" s="221" t="s">
        <v>108</v>
      </c>
      <c r="WN11" s="221" t="s">
        <v>109</v>
      </c>
      <c r="WO11" s="1041"/>
    </row>
    <row r="12" spans="1:613" s="338" customFormat="1" ht="25.5" customHeight="1" x14ac:dyDescent="0.25">
      <c r="A12" s="346" t="s">
        <v>79</v>
      </c>
      <c r="B12" s="497">
        <f>D12+AI12+'Проверочная  таблица'!RA12+'Проверочная  таблица'!SK12</f>
        <v>385916138.25999999</v>
      </c>
      <c r="C12" s="503">
        <f>E12+'Проверочная  таблица'!RD12+AJ12+'Проверочная  таблица'!SL12</f>
        <v>266063409.08000001</v>
      </c>
      <c r="D12" s="514">
        <f t="shared" ref="D12:D29" si="0">F12+P12+N12+V12+AA12+H12</f>
        <v>138405346</v>
      </c>
      <c r="E12" s="497">
        <f t="shared" ref="E12:E29" si="1">G12+Q12+O12+W12+AB12+I12</f>
        <v>111152536</v>
      </c>
      <c r="F12" s="1174">
        <f>'[1]Дотация  из  ОБ_факт'!M8</f>
        <v>60061600</v>
      </c>
      <c r="G12" s="1175">
        <v>45000000</v>
      </c>
      <c r="H12" s="1174">
        <f>'[1]Дотация  из  ОБ_факт'!G8</f>
        <v>26708000</v>
      </c>
      <c r="I12" s="1175">
        <v>20034000</v>
      </c>
      <c r="J12" s="1180">
        <f t="shared" ref="J12:J29" si="2">H12-L12</f>
        <v>26708000</v>
      </c>
      <c r="K12" s="1181">
        <f t="shared" ref="K12:K29" si="3">I12-M12</f>
        <v>20034000</v>
      </c>
      <c r="L12" s="1180">
        <f>'[1]Дотация  из  ОБ_факт'!K8</f>
        <v>0</v>
      </c>
      <c r="M12" s="1445"/>
      <c r="N12" s="1174">
        <f>'[1]Дотация  из  ОБ_факт'!Q8</f>
        <v>21208079.999999996</v>
      </c>
      <c r="O12" s="1175">
        <v>21026890</v>
      </c>
      <c r="P12" s="1174">
        <f>'[1]Дотация  из  ОБ_факт'!S8</f>
        <v>29726582.000000004</v>
      </c>
      <c r="Q12" s="1440">
        <v>24390562</v>
      </c>
      <c r="R12" s="1181">
        <f t="shared" ref="R12:R29" si="4">P12-T12</f>
        <v>29726582.000000004</v>
      </c>
      <c r="S12" s="1186">
        <f t="shared" ref="S12:S29" si="5">Q12-U12</f>
        <v>24390562</v>
      </c>
      <c r="T12" s="1180">
        <f>'[1]Дотация  из  ОБ_факт'!W8</f>
        <v>0</v>
      </c>
      <c r="U12" s="1445"/>
      <c r="V12" s="1174">
        <f>'[1]Дотация  из  ОБ_факт'!AA8+'[1]Дотация  из  ОБ_факт'!AC8+'[1]Дотация  из  ОБ_факт'!AG8</f>
        <v>318584</v>
      </c>
      <c r="W12" s="1177">
        <f t="shared" ref="W12:W29" si="6">SUM(X12:Z12)</f>
        <v>318584</v>
      </c>
      <c r="X12" s="1184"/>
      <c r="Y12" s="1183"/>
      <c r="Z12" s="1184">
        <v>318584</v>
      </c>
      <c r="AA12" s="1174">
        <f>'[1]Дотация  из  ОБ_факт'!Y8+'[1]Дотация  из  ОБ_факт'!AE8</f>
        <v>382500</v>
      </c>
      <c r="AB12" s="171">
        <f t="shared" ref="AB12:AB29" si="7">SUM(AC12:AD12)</f>
        <v>382500</v>
      </c>
      <c r="AC12" s="1183">
        <v>382500</v>
      </c>
      <c r="AD12" s="1184"/>
      <c r="AE12" s="1180">
        <f t="shared" ref="AE12:AE29" si="8">AA12-AG12</f>
        <v>382500</v>
      </c>
      <c r="AF12" s="1181">
        <f t="shared" ref="AF12:AF29" si="9">AB12-AH12</f>
        <v>382500</v>
      </c>
      <c r="AG12" s="1186">
        <f>'[1]Дотация  из  ОБ_факт'!AE8</f>
        <v>0</v>
      </c>
      <c r="AH12" s="1511">
        <f>AD12</f>
        <v>0</v>
      </c>
      <c r="AI12" s="579">
        <f>'Проверочная  таблица'!KW12+'Проверочная  таблица'!QS12+'Проверочная  таблица'!QU12+CS12+CU12+DA12+DC12+BU12+CE12+'Проверочная  таблица'!IQ12+'Проверочная  таблица'!JK12+'Проверочная  таблица'!EE12+'Проверочная  таблица'!KO12+DQ12+'Проверочная  таблица'!HQ12+'Проверочная  таблица'!HW12+'Проверочная  таблица'!LA12+'Проверочная  таблица'!LI12+HK12+FQ12+FE12+NK12+EY12+AK12+AW12+FK12+GM12+GS12+DI12+NQ12+FW12+EK12+OE12+MG12+GG12+PU12+QA12</f>
        <v>68586071.149999991</v>
      </c>
      <c r="AJ12" s="498">
        <f>'Проверочная  таблица'!KY12+'Проверочная  таблица'!QT12+'Проверочная  таблица'!QV12+CT12+CV12+DB12+DD12+BZ12+CJ12+'Проверочная  таблица'!JA12+'Проверочная  таблица'!JP12+'Проверочная  таблица'!EH12+'Проверочная  таблица'!KS12+DX12+'Проверочная  таблица'!HT12+'Проверочная  таблица'!HZ12+'Проверочная  таблица'!LE12+'Проверочная  таблица'!LM12+HN12+FN12+FT12+FH12+NN12+FB12+AQ12+BA12+GP12+GV12+DM12+NX12+FZ12+ER12+OL12+ML12+GJ12+PX12+QD12</f>
        <v>20068721.199999999</v>
      </c>
      <c r="AK12" s="503">
        <f>SUM(AL12:AP12)</f>
        <v>0</v>
      </c>
      <c r="AL12" s="1209">
        <f>[1]Субсидия_факт!CD10</f>
        <v>0</v>
      </c>
      <c r="AM12" s="1210">
        <f>[1]Субсидия_факт!EX10</f>
        <v>0</v>
      </c>
      <c r="AN12" s="1213">
        <f>[1]Субсидия_факт!FJ10</f>
        <v>0</v>
      </c>
      <c r="AO12" s="1209">
        <f>[1]Субсидия_факт!LT10</f>
        <v>0</v>
      </c>
      <c r="AP12" s="1215">
        <f>[1]Субсидия_факт!LZ10</f>
        <v>0</v>
      </c>
      <c r="AQ12" s="748">
        <f>SUM(AR12:AV12)</f>
        <v>0</v>
      </c>
      <c r="AR12" s="624"/>
      <c r="AS12" s="624"/>
      <c r="AT12" s="624"/>
      <c r="AU12" s="624"/>
      <c r="AV12" s="519"/>
      <c r="AW12" s="498">
        <f t="shared" ref="AW12:AW29" si="10">SUM(AX12:AZ12)</f>
        <v>0</v>
      </c>
      <c r="AX12" s="1209">
        <f>[1]Субсидия_факт!CF10</f>
        <v>0</v>
      </c>
      <c r="AY12" s="1210">
        <f>[1]Субсидия_факт!FB10</f>
        <v>0</v>
      </c>
      <c r="AZ12" s="1223">
        <f>[1]Субсидия_факт!LV10</f>
        <v>0</v>
      </c>
      <c r="BA12" s="466">
        <f t="shared" ref="BA12:BA29" si="11">SUM(BB12:BD12)</f>
        <v>0</v>
      </c>
      <c r="BB12" s="519"/>
      <c r="BC12" s="519"/>
      <c r="BD12" s="1236"/>
      <c r="BE12" s="669">
        <f t="shared" ref="BE12:BE29" si="12">SUM(BF12:BH12)</f>
        <v>0</v>
      </c>
      <c r="BF12" s="1219">
        <f t="shared" ref="BF12:BF29" si="13">AX12-BN12</f>
        <v>0</v>
      </c>
      <c r="BG12" s="1209">
        <f t="shared" ref="BG12:BG29" si="14">AY12-BO12</f>
        <v>0</v>
      </c>
      <c r="BH12" s="1210">
        <f t="shared" ref="BH12:BH29" si="15">AZ12-BP12</f>
        <v>0</v>
      </c>
      <c r="BI12" s="669">
        <f t="shared" ref="BI12:BI29" si="16">SUM(BJ12:BL12)</f>
        <v>0</v>
      </c>
      <c r="BJ12" s="1215">
        <f t="shared" ref="BJ12:BJ29" si="17">BB12-BR12</f>
        <v>0</v>
      </c>
      <c r="BK12" s="1213">
        <f t="shared" ref="BK12:BK29" si="18">BC12-BS12</f>
        <v>0</v>
      </c>
      <c r="BL12" s="1210">
        <f t="shared" ref="BL12:BL29" si="19">BD12-BT12</f>
        <v>0</v>
      </c>
      <c r="BM12" s="667">
        <f t="shared" ref="BM12:BM29" si="20">SUM(BN12:BP12)</f>
        <v>0</v>
      </c>
      <c r="BN12" s="1209">
        <f>[1]Субсидия_факт!CH10</f>
        <v>0</v>
      </c>
      <c r="BO12" s="1210">
        <f>[1]Субсидия_факт!FD10</f>
        <v>0</v>
      </c>
      <c r="BP12" s="1223">
        <f>[1]Субсидия_факт!LX10</f>
        <v>0</v>
      </c>
      <c r="BQ12" s="1189">
        <f t="shared" ref="BQ12:BQ29" si="21">SUM(BR12:BT12)</f>
        <v>0</v>
      </c>
      <c r="BR12" s="1236"/>
      <c r="BS12" s="519"/>
      <c r="BT12" s="1236"/>
      <c r="BU12" s="503">
        <f>SUM(BV12:BY12)</f>
        <v>27690847.329999998</v>
      </c>
      <c r="BV12" s="562">
        <f>[1]Субсидия_факт!HB10</f>
        <v>0</v>
      </c>
      <c r="BW12" s="516">
        <f>[1]Субсидия_факт!HH10</f>
        <v>27690847.329999998</v>
      </c>
      <c r="BX12" s="519">
        <f>[1]Субсидия_факт!HP10</f>
        <v>0</v>
      </c>
      <c r="BY12" s="562">
        <f>[1]Субсидия_факт!HV10</f>
        <v>0</v>
      </c>
      <c r="BZ12" s="503">
        <f>SUM(CA12:CD12)</f>
        <v>10198955.039999999</v>
      </c>
      <c r="CA12" s="519"/>
      <c r="CB12" s="519">
        <v>10198955.039999999</v>
      </c>
      <c r="CC12" s="519"/>
      <c r="CD12" s="625"/>
      <c r="CE12" s="497">
        <f>SUM(CF12:CI12)</f>
        <v>0</v>
      </c>
      <c r="CF12" s="1209">
        <f>[1]Субсидия_факт!HD10</f>
        <v>0</v>
      </c>
      <c r="CG12" s="1209">
        <f>[1]Субсидия_факт!HJ10</f>
        <v>0</v>
      </c>
      <c r="CH12" s="519">
        <f>[1]Субсидия_факт!HR10</f>
        <v>0</v>
      </c>
      <c r="CI12" s="1223">
        <f>[1]Субсидия_факт!HX10</f>
        <v>0</v>
      </c>
      <c r="CJ12" s="503">
        <f>SUM(CK12:CN12)</f>
        <v>0</v>
      </c>
      <c r="CK12" s="519"/>
      <c r="CL12" s="1236"/>
      <c r="CM12" s="519"/>
      <c r="CN12" s="724"/>
      <c r="CO12" s="1188">
        <f t="shared" ref="CO12:CO29" si="22">CE12-CQ12</f>
        <v>0</v>
      </c>
      <c r="CP12" s="1189">
        <f t="shared" ref="CP12:CP29" si="23">CJ12-CR12</f>
        <v>0</v>
      </c>
      <c r="CQ12" s="1240">
        <f>CE12</f>
        <v>0</v>
      </c>
      <c r="CR12" s="1188">
        <f>CJ12</f>
        <v>0</v>
      </c>
      <c r="CS12" s="503">
        <f>[1]Субсидия_факт!FL10</f>
        <v>0</v>
      </c>
      <c r="CT12" s="1176"/>
      <c r="CU12" s="503">
        <f>[1]Субсидия_факт!FN10</f>
        <v>0</v>
      </c>
      <c r="CV12" s="1176"/>
      <c r="CW12" s="1189">
        <f t="shared" ref="CW12:CW29" si="24">CU12-CY12</f>
        <v>0</v>
      </c>
      <c r="CX12" s="1240">
        <f t="shared" ref="CX12:CX29" si="25">CV12-CZ12</f>
        <v>0</v>
      </c>
      <c r="CY12" s="1189">
        <f>[1]Субсидия_факт!FP10</f>
        <v>0</v>
      </c>
      <c r="CZ12" s="1479"/>
      <c r="DA12" s="497">
        <f>[1]Субсидия_факт!FR10</f>
        <v>0</v>
      </c>
      <c r="DB12" s="1178"/>
      <c r="DC12" s="514">
        <f>[1]Субсидия_факт!FT10</f>
        <v>0</v>
      </c>
      <c r="DD12" s="1178"/>
      <c r="DE12" s="751">
        <f t="shared" ref="DE12:DE29" si="26">DC12-DG12</f>
        <v>0</v>
      </c>
      <c r="DF12" s="669">
        <f t="shared" ref="DF12:DF29" si="27">DD12-DH12</f>
        <v>0</v>
      </c>
      <c r="DG12" s="663">
        <f>[1]Субсидия_факт!FV10</f>
        <v>0</v>
      </c>
      <c r="DH12" s="1478">
        <f>DD12</f>
        <v>0</v>
      </c>
      <c r="DI12" s="498">
        <f>SUM(DJ12:DL12)</f>
        <v>0</v>
      </c>
      <c r="DJ12" s="625">
        <f>[1]Субсидия_факт!EV10</f>
        <v>0</v>
      </c>
      <c r="DK12" s="516">
        <f>[1]Субсидия_факт!EL10</f>
        <v>0</v>
      </c>
      <c r="DL12" s="838">
        <f>[1]Субсидия_факт!EN10</f>
        <v>0</v>
      </c>
      <c r="DM12" s="466">
        <f>SUM(DN12:DP12)</f>
        <v>0</v>
      </c>
      <c r="DN12" s="625"/>
      <c r="DO12" s="625"/>
      <c r="DP12" s="987"/>
      <c r="DQ12" s="497">
        <f t="shared" ref="DQ12:DQ29" si="28">SUM(DR12:DW12)</f>
        <v>0</v>
      </c>
      <c r="DR12" s="1210">
        <f>[1]Субсидия_факт!N10</f>
        <v>0</v>
      </c>
      <c r="DS12" s="1219">
        <f>[1]Субсидия_факт!P10</f>
        <v>0</v>
      </c>
      <c r="DT12" s="1217">
        <f>[1]Субсидия_факт!R10</f>
        <v>0</v>
      </c>
      <c r="DU12" s="1213">
        <f>[1]Субсидия_факт!T10</f>
        <v>0</v>
      </c>
      <c r="DV12" s="1224">
        <f>[1]Субсидия_факт!V10</f>
        <v>0</v>
      </c>
      <c r="DW12" s="1213">
        <f>[1]Субсидия_факт!X10</f>
        <v>0</v>
      </c>
      <c r="DX12" s="503">
        <f t="shared" ref="DX12:DX29" si="29">SUM(DY12:ED12)</f>
        <v>0</v>
      </c>
      <c r="DY12" s="1236"/>
      <c r="DZ12" s="519"/>
      <c r="EA12" s="685"/>
      <c r="EB12" s="519"/>
      <c r="EC12" s="685"/>
      <c r="ED12" s="519"/>
      <c r="EE12" s="498">
        <f t="shared" ref="EE12:EE29" si="30">SUM(EF12:EG12)</f>
        <v>0</v>
      </c>
      <c r="EF12" s="516">
        <f>[1]Субсидия_факт!BL10</f>
        <v>0</v>
      </c>
      <c r="EG12" s="838">
        <f>[1]Субсидия_факт!BN10</f>
        <v>0</v>
      </c>
      <c r="EH12" s="466">
        <f t="shared" ref="EH12:EH29" si="31">SUM(EI12:EJ12)</f>
        <v>0</v>
      </c>
      <c r="EI12" s="772"/>
      <c r="EJ12" s="987"/>
      <c r="EK12" s="497">
        <f t="shared" ref="EK12:EK29" si="32">SUM(EL12:EQ12)</f>
        <v>23479700</v>
      </c>
      <c r="EL12" s="1209">
        <f>[1]Субсидия_факт!AF10</f>
        <v>121350</v>
      </c>
      <c r="EM12" s="1224">
        <f>[1]Субсидия_факт!AH10</f>
        <v>2305650</v>
      </c>
      <c r="EN12" s="1213">
        <f>[1]Субсидия_факт!AJ10</f>
        <v>0</v>
      </c>
      <c r="EO12" s="1460">
        <f>[1]Субсидия_факт!AL10</f>
        <v>0</v>
      </c>
      <c r="EP12" s="1215">
        <f>[1]Субсидия_факт!AN10</f>
        <v>1052700</v>
      </c>
      <c r="EQ12" s="1216">
        <f>[1]Субсидия_факт!AP10</f>
        <v>20000000</v>
      </c>
      <c r="ER12" s="503">
        <f t="shared" ref="ER12:ER29" si="33">SUM(ES12:EX12)</f>
        <v>0</v>
      </c>
      <c r="ES12" s="624"/>
      <c r="ET12" s="685"/>
      <c r="EU12" s="624"/>
      <c r="EV12" s="685"/>
      <c r="EW12" s="624"/>
      <c r="EX12" s="685"/>
      <c r="EY12" s="498">
        <f t="shared" ref="EY12:EY29" si="34">SUM(EZ12:FA12)</f>
        <v>0</v>
      </c>
      <c r="EZ12" s="516">
        <f>[1]Субсидия_факт!AV10</f>
        <v>0</v>
      </c>
      <c r="FA12" s="752">
        <f>[1]Субсидия_факт!AX10</f>
        <v>0</v>
      </c>
      <c r="FB12" s="466">
        <f t="shared" ref="FB12:FB29" si="35">SUM(FC12:FD12)</f>
        <v>0</v>
      </c>
      <c r="FC12" s="772"/>
      <c r="FD12" s="678"/>
      <c r="FE12" s="498">
        <f t="shared" ref="FE12:FE29" si="36">SUM(FF12:FG12)</f>
        <v>0</v>
      </c>
      <c r="FF12" s="516">
        <f>[1]Субсидия_факт!BT10</f>
        <v>0</v>
      </c>
      <c r="FG12" s="838">
        <f>[1]Субсидия_факт!BV10</f>
        <v>0</v>
      </c>
      <c r="FH12" s="466">
        <f t="shared" ref="FH12:FH29" si="37">SUM(FI12:FJ12)</f>
        <v>0</v>
      </c>
      <c r="FI12" s="772"/>
      <c r="FJ12" s="678"/>
      <c r="FK12" s="498">
        <f t="shared" ref="FK12:FK29" si="38">SUM(FL12:FM12)</f>
        <v>0</v>
      </c>
      <c r="FL12" s="516">
        <f>[1]Субсидия_факт!BP10</f>
        <v>0</v>
      </c>
      <c r="FM12" s="838">
        <f>[1]Субсидия_факт!BR10</f>
        <v>0</v>
      </c>
      <c r="FN12" s="466">
        <f t="shared" ref="FN12:FN29" si="39">SUM(FO12:FP12)</f>
        <v>0</v>
      </c>
      <c r="FO12" s="772"/>
      <c r="FP12" s="678"/>
      <c r="FQ12" s="498">
        <f t="shared" ref="FQ12:FQ29" si="40">SUM(FR12:FS12)</f>
        <v>0</v>
      </c>
      <c r="FR12" s="516">
        <f>[1]Субсидия_факт!IV10</f>
        <v>0</v>
      </c>
      <c r="FS12" s="838">
        <f>[1]Субсидия_факт!IX10</f>
        <v>0</v>
      </c>
      <c r="FT12" s="466">
        <f t="shared" ref="FT12:FT29" si="41">SUM(FU12:FV12)</f>
        <v>0</v>
      </c>
      <c r="FU12" s="772"/>
      <c r="FV12" s="678"/>
      <c r="FW12" s="498">
        <f t="shared" ref="FW12:FW29" si="42">SUM(FX12:FY12)</f>
        <v>0</v>
      </c>
      <c r="FX12" s="516">
        <f>[1]Субсидия_факт!IZ10</f>
        <v>0</v>
      </c>
      <c r="FY12" s="838">
        <f>[1]Субсидия_факт!JD10</f>
        <v>0</v>
      </c>
      <c r="FZ12" s="466">
        <f t="shared" ref="FZ12:FZ29" si="43">SUM(GA12:GB12)</f>
        <v>0</v>
      </c>
      <c r="GA12" s="772"/>
      <c r="GB12" s="678"/>
      <c r="GC12" s="667">
        <f>FW12-GE12</f>
        <v>0</v>
      </c>
      <c r="GD12" s="669">
        <f>FZ12-GF12</f>
        <v>0</v>
      </c>
      <c r="GE12" s="667">
        <f>FW12</f>
        <v>0</v>
      </c>
      <c r="GF12" s="669">
        <f>FZ12</f>
        <v>0</v>
      </c>
      <c r="GG12" s="498">
        <f>SUM(GH12:GI12)</f>
        <v>0</v>
      </c>
      <c r="GH12" s="1251">
        <f>[1]Субсидия_факт!BH10</f>
        <v>0</v>
      </c>
      <c r="GI12" s="676">
        <f>[1]Субсидия_факт!BJ10</f>
        <v>0</v>
      </c>
      <c r="GJ12" s="498">
        <f>SUM(GK12:GL12)</f>
        <v>0</v>
      </c>
      <c r="GK12" s="724"/>
      <c r="GL12" s="678"/>
      <c r="GM12" s="498">
        <f t="shared" ref="GM12:GM29" si="44">SUM(GN12:GO12)</f>
        <v>0</v>
      </c>
      <c r="GN12" s="516"/>
      <c r="GO12" s="838"/>
      <c r="GP12" s="466">
        <f t="shared" ref="GP12:GP29" si="45">SUM(GQ12:GR12)</f>
        <v>0</v>
      </c>
      <c r="GQ12" s="724"/>
      <c r="GR12" s="678"/>
      <c r="GS12" s="498">
        <f t="shared" ref="GS12:GS29" si="46">SUM(GT12:GU12)</f>
        <v>1624033</v>
      </c>
      <c r="GT12" s="516">
        <f>[1]Субсидия_факт!FZ10</f>
        <v>811516.06</v>
      </c>
      <c r="GU12" s="838">
        <f>[1]Субсидия_факт!GD10</f>
        <v>812516.94</v>
      </c>
      <c r="GV12" s="466">
        <f t="shared" ref="GV12:GV29" si="47">SUM(GW12:GX12)</f>
        <v>135704.83000000002</v>
      </c>
      <c r="GW12" s="724">
        <v>67810.600000000006</v>
      </c>
      <c r="GX12" s="678">
        <v>67894.23</v>
      </c>
      <c r="GY12" s="667">
        <f t="shared" ref="GY12:GY29" si="48">SUM(GZ12:HA12)</f>
        <v>1624033</v>
      </c>
      <c r="GZ12" s="516">
        <f>GT12-HF12</f>
        <v>811516.06</v>
      </c>
      <c r="HA12" s="838">
        <f>GU12-HG12</f>
        <v>812516.94</v>
      </c>
      <c r="HB12" s="669">
        <f t="shared" ref="HB12:HB29" si="49">SUM(HC12:HD12)</f>
        <v>135704.83000000002</v>
      </c>
      <c r="HC12" s="516">
        <f>GW12-HI12</f>
        <v>67810.600000000006</v>
      </c>
      <c r="HD12" s="838">
        <f>GX12-HJ12</f>
        <v>67894.23</v>
      </c>
      <c r="HE12" s="667">
        <f t="shared" ref="HE12:HE29" si="50">SUM(HF12:HG12)</f>
        <v>0</v>
      </c>
      <c r="HF12" s="516">
        <f>[1]Субсидия_факт!GB10</f>
        <v>0</v>
      </c>
      <c r="HG12" s="838">
        <f>[1]Субсидия_факт!GF10</f>
        <v>0</v>
      </c>
      <c r="HH12" s="669">
        <f t="shared" ref="HH12:HH29" si="51">SUM(HI12:HJ12)</f>
        <v>0</v>
      </c>
      <c r="HI12" s="724"/>
      <c r="HJ12" s="678"/>
      <c r="HK12" s="497">
        <f t="shared" ref="HK12" si="52">SUM(HL12:HM12)</f>
        <v>0</v>
      </c>
      <c r="HL12" s="518">
        <f>[1]Субсидия_факт!DD10</f>
        <v>0</v>
      </c>
      <c r="HM12" s="752">
        <f>[1]Субсидия_факт!DF10</f>
        <v>0</v>
      </c>
      <c r="HN12" s="503">
        <f t="shared" ref="HN12" si="53">SUM(HO12:HP12)</f>
        <v>0</v>
      </c>
      <c r="HO12" s="519"/>
      <c r="HP12" s="1233"/>
      <c r="HQ12" s="579">
        <f t="shared" ref="HQ12:HQ29" si="54">SUM(HR12:HS12)</f>
        <v>0</v>
      </c>
      <c r="HR12" s="516">
        <f>[1]Субсидия_факт!CR10</f>
        <v>0</v>
      </c>
      <c r="HS12" s="838">
        <f>[1]Субсидия_факт!CX10</f>
        <v>0</v>
      </c>
      <c r="HT12" s="466">
        <f t="shared" ref="HT12:HT29" si="55">SUM(HU12:HV12)</f>
        <v>0</v>
      </c>
      <c r="HU12" s="724"/>
      <c r="HV12" s="678"/>
      <c r="HW12" s="466">
        <f t="shared" ref="HW12:HW29" si="56">SUM(HX12:HY12)</f>
        <v>0</v>
      </c>
      <c r="HX12" s="516">
        <f>[1]Субсидия_факт!CT10</f>
        <v>0</v>
      </c>
      <c r="HY12" s="752">
        <f>[1]Субсидия_факт!CZ10</f>
        <v>0</v>
      </c>
      <c r="HZ12" s="466">
        <f t="shared" ref="HZ12:HZ29" si="57">SUM(IA12:IB12)</f>
        <v>0</v>
      </c>
      <c r="IA12" s="757">
        <f>IC12-HU12</f>
        <v>0</v>
      </c>
      <c r="IB12" s="789">
        <f>ID12-HV12</f>
        <v>0</v>
      </c>
      <c r="IC12" s="625"/>
      <c r="ID12" s="709"/>
      <c r="IE12" s="669">
        <f t="shared" ref="IE12:IE29" si="58">SUM(IF12:IG12)</f>
        <v>0</v>
      </c>
      <c r="IF12" s="750">
        <f>'Проверочная  таблица'!HX12-'Проверочная  таблица'!IL12</f>
        <v>0</v>
      </c>
      <c r="IG12" s="676">
        <f>'Проверочная  таблица'!HY12-'Проверочная  таблица'!IM12</f>
        <v>0</v>
      </c>
      <c r="IH12" s="663">
        <f t="shared" ref="IH12:IH29" si="59">SUM(II12:IJ12)</f>
        <v>0</v>
      </c>
      <c r="II12" s="757">
        <f>'Проверочная  таблица'!IA12-'Проверочная  таблица'!IO12</f>
        <v>0</v>
      </c>
      <c r="IJ12" s="768">
        <f>'Проверочная  таблица'!IB12-'Проверочная  таблица'!IP12</f>
        <v>0</v>
      </c>
      <c r="IK12" s="669">
        <f t="shared" ref="IK12:IK29" si="60">SUM(IL12:IM12)</f>
        <v>0</v>
      </c>
      <c r="IL12" s="516">
        <f>[1]Субсидия_факт!CV10</f>
        <v>0</v>
      </c>
      <c r="IM12" s="838">
        <f>[1]Субсидия_факт!DB10</f>
        <v>0</v>
      </c>
      <c r="IN12" s="669">
        <f t="shared" ref="IN12:IN29" si="61">SUM(IO12:IP12)</f>
        <v>0</v>
      </c>
      <c r="IO12" s="724"/>
      <c r="IP12" s="678"/>
      <c r="IQ12" s="466">
        <f>SUM(IR12:IZ12)</f>
        <v>3000000</v>
      </c>
      <c r="IR12" s="757">
        <f>[1]Субсидия_факт!CJ10</f>
        <v>0</v>
      </c>
      <c r="IS12" s="676">
        <f>[1]Субсидия_факт!CN10</f>
        <v>0</v>
      </c>
      <c r="IT12" s="757">
        <f>[1]Субсидия_факт!DH10</f>
        <v>0</v>
      </c>
      <c r="IU12" s="676">
        <f>[1]Субсидия_факт!DN10</f>
        <v>0</v>
      </c>
      <c r="IV12" s="1209">
        <f>[1]Субсидия_факт!DX10</f>
        <v>0</v>
      </c>
      <c r="IW12" s="1224">
        <f>[1]Субсидия_факт!DZ10</f>
        <v>0</v>
      </c>
      <c r="IX12" s="1295">
        <f>[1]Субсидия_факт!DT10</f>
        <v>0</v>
      </c>
      <c r="IY12" s="676">
        <f>[1]Субсидия_факт!DV10</f>
        <v>0</v>
      </c>
      <c r="IZ12" s="516">
        <f>[1]Субсидия_факт!EB10</f>
        <v>3000000</v>
      </c>
      <c r="JA12" s="466">
        <f>SUM(JB12:JJ12)</f>
        <v>3000000</v>
      </c>
      <c r="JB12" s="625"/>
      <c r="JC12" s="678"/>
      <c r="JD12" s="625"/>
      <c r="JE12" s="678"/>
      <c r="JF12" s="519"/>
      <c r="JG12" s="1233"/>
      <c r="JH12" s="625"/>
      <c r="JI12" s="678"/>
      <c r="JJ12" s="757">
        <f>IZ12</f>
        <v>3000000</v>
      </c>
      <c r="JK12" s="748">
        <f>SUM(JL12:JO12)</f>
        <v>0</v>
      </c>
      <c r="JL12" s="757">
        <f>[1]Субсидия_факт!CL10</f>
        <v>0</v>
      </c>
      <c r="JM12" s="676">
        <f>[1]Субсидия_факт!CP10</f>
        <v>0</v>
      </c>
      <c r="JN12" s="757">
        <f>[1]Субсидия_факт!DJ10</f>
        <v>0</v>
      </c>
      <c r="JO12" s="676">
        <f>[1]Субсидия_факт!DP10</f>
        <v>0</v>
      </c>
      <c r="JP12" s="748">
        <f>SUM(JQ12:JT12)</f>
        <v>0</v>
      </c>
      <c r="JQ12" s="625"/>
      <c r="JR12" s="678"/>
      <c r="JS12" s="625"/>
      <c r="JT12" s="678"/>
      <c r="JU12" s="1189">
        <f>SUM(JV12:JY12)</f>
        <v>0</v>
      </c>
      <c r="JV12" s="1215">
        <f>'Проверочная  таблица'!JL12-KF12</f>
        <v>0</v>
      </c>
      <c r="JW12" s="1217">
        <f>'Проверочная  таблица'!JM12-KG12</f>
        <v>0</v>
      </c>
      <c r="JX12" s="1215">
        <f>'Проверочная  таблица'!JN12-KH12</f>
        <v>0</v>
      </c>
      <c r="JY12" s="1217">
        <f>'Проверочная  таблица'!JO12-KI12</f>
        <v>0</v>
      </c>
      <c r="JZ12" s="1189">
        <f>SUM(KA12:KD12)</f>
        <v>0</v>
      </c>
      <c r="KA12" s="1215">
        <f>'Проверочная  таблица'!JQ12-KK12</f>
        <v>0</v>
      </c>
      <c r="KB12" s="1217">
        <f>'Проверочная  таблица'!JR12-KL12</f>
        <v>0</v>
      </c>
      <c r="KC12" s="1215">
        <f>'Проверочная  таблица'!JS12-KM12</f>
        <v>0</v>
      </c>
      <c r="KD12" s="1216">
        <f>'Проверочная  таблица'!JT12-KN12</f>
        <v>0</v>
      </c>
      <c r="KE12" s="1189">
        <f>SUM(KF12:KI12)</f>
        <v>0</v>
      </c>
      <c r="KF12" s="625"/>
      <c r="KG12" s="678"/>
      <c r="KH12" s="757">
        <f>[1]Субсидия_факт!DL10</f>
        <v>0</v>
      </c>
      <c r="KI12" s="1519">
        <f>[1]Субсидия_факт!DR10</f>
        <v>0</v>
      </c>
      <c r="KJ12" s="1189">
        <f>SUM(KK12:KN12)</f>
        <v>0</v>
      </c>
      <c r="KK12" s="753"/>
      <c r="KL12" s="678"/>
      <c r="KM12" s="625"/>
      <c r="KN12" s="678"/>
      <c r="KO12" s="579">
        <f>SUM(KP12:KR12)</f>
        <v>0</v>
      </c>
      <c r="KP12" s="516">
        <f>[1]Субсидия_факт!BX10</f>
        <v>0</v>
      </c>
      <c r="KQ12" s="838">
        <f>[1]Субсидия_факт!BZ10</f>
        <v>0</v>
      </c>
      <c r="KR12" s="516">
        <f>[1]Субсидия_факт!CB10</f>
        <v>0</v>
      </c>
      <c r="KS12" s="503">
        <f>SUM(KT12:KV12)</f>
        <v>0</v>
      </c>
      <c r="KT12" s="625"/>
      <c r="KU12" s="678"/>
      <c r="KV12" s="625"/>
      <c r="KW12" s="498">
        <f t="shared" ref="KW12:KW29" si="62">SUM(KX12:KX12)</f>
        <v>0</v>
      </c>
      <c r="KX12" s="1210">
        <f>[1]Субсидия_факт!GN10</f>
        <v>0</v>
      </c>
      <c r="KY12" s="503">
        <f t="shared" ref="KY12:KY29" si="63">SUM(KZ12:KZ12)</f>
        <v>0</v>
      </c>
      <c r="KZ12" s="625"/>
      <c r="LA12" s="754">
        <f>SUM(LB12:LC12)</f>
        <v>0</v>
      </c>
      <c r="LB12" s="516">
        <f>[1]Субсидия_факт!JT10</f>
        <v>0</v>
      </c>
      <c r="LC12" s="838">
        <f>[1]Субсидия_факт!JZ10</f>
        <v>0</v>
      </c>
      <c r="LD12" s="508"/>
      <c r="LE12" s="754">
        <f>SUM(LF12:LG12)</f>
        <v>0</v>
      </c>
      <c r="LF12" s="772"/>
      <c r="LG12" s="678"/>
      <c r="LH12" s="625"/>
      <c r="LI12" s="754">
        <f>SUM(LJ12:LL12)</f>
        <v>5797936.2599999998</v>
      </c>
      <c r="LJ12" s="516">
        <f>[1]Субсидия_факт!JV10</f>
        <v>0</v>
      </c>
      <c r="LK12" s="838">
        <f>[1]Субсидия_факт!KB10</f>
        <v>0</v>
      </c>
      <c r="LL12" s="518">
        <f>[1]Субсидия_факт!KF10</f>
        <v>5797936.2599999998</v>
      </c>
      <c r="LM12" s="754">
        <f>SUM(LN12:LP12)</f>
        <v>1797936.26</v>
      </c>
      <c r="LN12" s="625"/>
      <c r="LO12" s="771"/>
      <c r="LP12" s="625">
        <v>1797936.26</v>
      </c>
      <c r="LQ12" s="1226">
        <f>SUM(LR12:LT12)</f>
        <v>5797936.2599999998</v>
      </c>
      <c r="LR12" s="652">
        <f>'Проверочная  таблица'!LJ12-LZ12</f>
        <v>0</v>
      </c>
      <c r="LS12" s="682">
        <f>'Проверочная  таблица'!LK12-MA12</f>
        <v>0</v>
      </c>
      <c r="LT12" s="622">
        <f>'Проверочная  таблица'!LL12-MB12</f>
        <v>5797936.2599999998</v>
      </c>
      <c r="LU12" s="1226">
        <f>SUM(LV12:LX12)</f>
        <v>1797936.26</v>
      </c>
      <c r="LV12" s="750">
        <f>'Проверочная  таблица'!LN12-MD12</f>
        <v>0</v>
      </c>
      <c r="LW12" s="676">
        <f>'Проверочная  таблица'!LO12-ME12</f>
        <v>0</v>
      </c>
      <c r="LX12" s="757">
        <f>'Проверочная  таблица'!LP12-MF12</f>
        <v>1797936.26</v>
      </c>
      <c r="LY12" s="1226">
        <f>SUM(LZ12:MB12)</f>
        <v>0</v>
      </c>
      <c r="LZ12" s="516">
        <f>[1]Субсидия_факт!JX10</f>
        <v>0</v>
      </c>
      <c r="MA12" s="838">
        <f>[1]Субсидия_факт!KD10</f>
        <v>0</v>
      </c>
      <c r="MB12" s="516">
        <f>[1]Субсидия_факт!KH10</f>
        <v>0</v>
      </c>
      <c r="MC12" s="1226">
        <f>SUM(MD12:MF12)</f>
        <v>0</v>
      </c>
      <c r="MD12" s="772"/>
      <c r="ME12" s="678"/>
      <c r="MF12" s="516"/>
      <c r="MG12" s="503">
        <f>SUM(MH12:MK12)</f>
        <v>718927.38</v>
      </c>
      <c r="MH12" s="1219">
        <f>[1]Субсидия_факт!KR10</f>
        <v>35946.36</v>
      </c>
      <c r="MI12" s="1217">
        <f>[1]Субсидия_факт!KV10</f>
        <v>682981.02</v>
      </c>
      <c r="MJ12" s="750">
        <f>[1]Субсидия_факт!KZ10</f>
        <v>0</v>
      </c>
      <c r="MK12" s="1519">
        <f>[1]Субсидия_факт!LD10</f>
        <v>0</v>
      </c>
      <c r="ML12" s="503">
        <f>SUM(MM12:MP12)</f>
        <v>718814.35</v>
      </c>
      <c r="MM12" s="1516">
        <v>35940.720000000001</v>
      </c>
      <c r="MN12" s="1233">
        <v>682873.63</v>
      </c>
      <c r="MO12" s="519"/>
      <c r="MP12" s="1517"/>
      <c r="MQ12" s="1189">
        <f>SUM(MR12:MU12)</f>
        <v>718927.38</v>
      </c>
      <c r="MR12" s="1612">
        <f t="shared" ref="MR12:MR29" si="64">MH12-NB12</f>
        <v>35946.36</v>
      </c>
      <c r="MS12" s="1217">
        <f t="shared" ref="MS12:MS29" si="65">MI12-NC12</f>
        <v>682981.02</v>
      </c>
      <c r="MT12" s="1215">
        <f t="shared" ref="MT12:MT29" si="66">MJ12-ND12</f>
        <v>0</v>
      </c>
      <c r="MU12" s="1217">
        <f t="shared" ref="MU12:MU29" si="67">MK12-NE12</f>
        <v>0</v>
      </c>
      <c r="MV12" s="1189">
        <f>SUM(MW12:MZ12)</f>
        <v>718814.35</v>
      </c>
      <c r="MW12" s="1215">
        <f t="shared" ref="MW12:MW29" si="68">MM12-NG12</f>
        <v>35940.720000000001</v>
      </c>
      <c r="MX12" s="1217">
        <f t="shared" ref="MX12:MX29" si="69">MN12-NH12</f>
        <v>682873.63</v>
      </c>
      <c r="MY12" s="1215">
        <f t="shared" ref="MY12:MY29" si="70">MO12-NI12</f>
        <v>0</v>
      </c>
      <c r="MZ12" s="1217">
        <f t="shared" ref="MZ12:MZ29" si="71">MP12-NJ12</f>
        <v>0</v>
      </c>
      <c r="NA12" s="1189">
        <f>SUM(NB12:NE12)</f>
        <v>0</v>
      </c>
      <c r="NB12" s="1214">
        <f>[1]Субсидия_факт!KT10</f>
        <v>0</v>
      </c>
      <c r="NC12" s="1217">
        <f>[1]Субсидия_факт!KX10</f>
        <v>0</v>
      </c>
      <c r="ND12" s="625">
        <f>[1]Субсидия_факт!LB10</f>
        <v>0</v>
      </c>
      <c r="NE12" s="709">
        <f>[1]Субсидия_факт!LF10</f>
        <v>0</v>
      </c>
      <c r="NF12" s="1189">
        <f>SUM(NG12:NJ12)</f>
        <v>0</v>
      </c>
      <c r="NG12" s="1215"/>
      <c r="NH12" s="1216"/>
      <c r="NI12" s="519"/>
      <c r="NJ12" s="1233"/>
      <c r="NK12" s="498">
        <f t="shared" ref="NK12:NK29" si="72">SUM(NL12:NM12)</f>
        <v>0</v>
      </c>
      <c r="NL12" s="516">
        <f>[1]Субсидия_факт!AB10</f>
        <v>0</v>
      </c>
      <c r="NM12" s="838">
        <f>[1]Субсидия_факт!AD10</f>
        <v>0</v>
      </c>
      <c r="NN12" s="466">
        <f t="shared" ref="NN12:NN29" si="73">SUM(NO12:NP12)</f>
        <v>0</v>
      </c>
      <c r="NO12" s="772"/>
      <c r="NP12" s="987"/>
      <c r="NQ12" s="503">
        <f>SUM(NR12:NW12)</f>
        <v>0</v>
      </c>
      <c r="NR12" s="1213">
        <f>[1]Субсидия_факт!LH10</f>
        <v>0</v>
      </c>
      <c r="NS12" s="1460">
        <f>[1]Субсидия_факт!LJ10</f>
        <v>0</v>
      </c>
      <c r="NT12" s="1209">
        <f>[1]Субсидия_факт!MN10</f>
        <v>0</v>
      </c>
      <c r="NU12" s="1224">
        <f>[1]Субсидия_факт!MP10</f>
        <v>0</v>
      </c>
      <c r="NV12" s="1462">
        <f>[1]Субсидия_факт!MB10</f>
        <v>0</v>
      </c>
      <c r="NW12" s="1217">
        <f>[1]Субсидия_факт!MH10</f>
        <v>0</v>
      </c>
      <c r="NX12" s="503">
        <f>SUM(NY12:OD12)</f>
        <v>0</v>
      </c>
      <c r="NY12" s="624"/>
      <c r="NZ12" s="685"/>
      <c r="OA12" s="624"/>
      <c r="OB12" s="685"/>
      <c r="OC12" s="1468"/>
      <c r="OD12" s="1469"/>
      <c r="OE12" s="503">
        <f>SUM(OF12:OK12)</f>
        <v>0</v>
      </c>
      <c r="OF12" s="1219">
        <f>[1]Субсидия_факт!KJ10</f>
        <v>0</v>
      </c>
      <c r="OG12" s="1217">
        <f>[1]Субсидия_факт!KN10</f>
        <v>0</v>
      </c>
      <c r="OH12" s="1219">
        <f>[1]Субсидия_факт!LL10</f>
        <v>0</v>
      </c>
      <c r="OI12" s="1217">
        <f>[1]Субсидия_факт!LP10</f>
        <v>0</v>
      </c>
      <c r="OJ12" s="1219">
        <f>[1]Субсидия_факт!MD10</f>
        <v>0</v>
      </c>
      <c r="OK12" s="1217">
        <f>[1]Субсидия_факт!MJ10</f>
        <v>0</v>
      </c>
      <c r="OL12" s="503">
        <f>SUM(OM12:OR12)</f>
        <v>0</v>
      </c>
      <c r="OM12" s="1215"/>
      <c r="ON12" s="1216"/>
      <c r="OO12" s="624"/>
      <c r="OP12" s="685"/>
      <c r="OQ12" s="1215"/>
      <c r="OR12" s="1216"/>
      <c r="OS12" s="1189">
        <f>SUM(OT12:OY12)</f>
        <v>0</v>
      </c>
      <c r="OT12" s="1214">
        <f t="shared" ref="OT12:OT29" si="74">OF12-PH12</f>
        <v>0</v>
      </c>
      <c r="OU12" s="1217">
        <f t="shared" ref="OU12:OU29" si="75">OG12-PI12</f>
        <v>0</v>
      </c>
      <c r="OV12" s="1214">
        <f t="shared" ref="OV12:OV29" si="76">OH12-PJ12</f>
        <v>0</v>
      </c>
      <c r="OW12" s="1217">
        <f t="shared" ref="OW12:OW29" si="77">OI12-PK12</f>
        <v>0</v>
      </c>
      <c r="OX12" s="1219">
        <f t="shared" ref="OX12:OX29" si="78">OJ12-PL12</f>
        <v>0</v>
      </c>
      <c r="OY12" s="1217">
        <f t="shared" ref="OY12:OY29" si="79">OK12-PM12</f>
        <v>0</v>
      </c>
      <c r="OZ12" s="1189">
        <f>SUM(PA12:PF12)</f>
        <v>0</v>
      </c>
      <c r="PA12" s="1214">
        <f t="shared" ref="PA12:PA29" si="80">OM12-PO12</f>
        <v>0</v>
      </c>
      <c r="PB12" s="1217">
        <f t="shared" ref="PB12:PB29" si="81">ON12-PP12</f>
        <v>0</v>
      </c>
      <c r="PC12" s="1214">
        <f t="shared" ref="PC12:PC29" si="82">OO12-PQ12</f>
        <v>0</v>
      </c>
      <c r="PD12" s="1217">
        <f t="shared" ref="PD12:PD29" si="83">OP12-PR12</f>
        <v>0</v>
      </c>
      <c r="PE12" s="1219">
        <f t="shared" ref="PE12:PE29" si="84">OQ12-PS12</f>
        <v>0</v>
      </c>
      <c r="PF12" s="1217">
        <f t="shared" ref="PF12:PF29" si="85">OR12-PT12</f>
        <v>0</v>
      </c>
      <c r="PG12" s="1189">
        <f>SUM(PH12:PM12)</f>
        <v>0</v>
      </c>
      <c r="PH12" s="1214">
        <f>[1]Субсидия_факт!KL10</f>
        <v>0</v>
      </c>
      <c r="PI12" s="1217">
        <f>[1]Субсидия_факт!KP10</f>
        <v>0</v>
      </c>
      <c r="PJ12" s="1219">
        <f>[1]Субсидия_факт!LN10</f>
        <v>0</v>
      </c>
      <c r="PK12" s="1217">
        <f>[1]Субсидия_факт!LR10</f>
        <v>0</v>
      </c>
      <c r="PL12" s="1219">
        <f>[1]Субсидия_факт!MF10</f>
        <v>0</v>
      </c>
      <c r="PM12" s="1217">
        <f>[1]Субсидия_факт!ML10</f>
        <v>0</v>
      </c>
      <c r="PN12" s="1189">
        <f>SUM(PO12:PT12)</f>
        <v>0</v>
      </c>
      <c r="PO12" s="1215"/>
      <c r="PP12" s="1216"/>
      <c r="PQ12" s="624"/>
      <c r="PR12" s="685"/>
      <c r="PS12" s="1215"/>
      <c r="PT12" s="1216"/>
      <c r="PU12" s="466">
        <f>SUM(PV12:PW12)</f>
        <v>0</v>
      </c>
      <c r="PV12" s="516">
        <f>[1]Субсидия_факт!MR10</f>
        <v>0</v>
      </c>
      <c r="PW12" s="838">
        <f>[1]Субсидия_факт!MX10</f>
        <v>0</v>
      </c>
      <c r="PX12" s="466">
        <f>SUM(PY12:PZ12)</f>
        <v>0</v>
      </c>
      <c r="PY12" s="724"/>
      <c r="PZ12" s="678"/>
      <c r="QA12" s="579">
        <f>SUM(QB12:QC12)</f>
        <v>0</v>
      </c>
      <c r="QB12" s="516">
        <f>[1]Субсидия_факт!MT10</f>
        <v>0</v>
      </c>
      <c r="QC12" s="838">
        <f>[1]Субсидия_факт!MZ10</f>
        <v>0</v>
      </c>
      <c r="QD12" s="466">
        <f>SUM(QE12:QF12)</f>
        <v>0</v>
      </c>
      <c r="QE12" s="724"/>
      <c r="QF12" s="987"/>
      <c r="QG12" s="669">
        <f>SUM(QH12:QI12)</f>
        <v>0</v>
      </c>
      <c r="QH12" s="516">
        <f>QB12-QN12</f>
        <v>0</v>
      </c>
      <c r="QI12" s="838">
        <f>QC12-QO12</f>
        <v>0</v>
      </c>
      <c r="QJ12" s="669">
        <f>SUM(QK12:QL12)</f>
        <v>0</v>
      </c>
      <c r="QK12" s="516">
        <f>QE12-QQ12</f>
        <v>0</v>
      </c>
      <c r="QL12" s="838">
        <f>QF12-QR12</f>
        <v>0</v>
      </c>
      <c r="QM12" s="669">
        <f>SUM(QN12:QO12)</f>
        <v>0</v>
      </c>
      <c r="QN12" s="516">
        <f>[1]Субсидия_факт!MV10</f>
        <v>0</v>
      </c>
      <c r="QO12" s="838">
        <f>[1]Субсидия_факт!NB10</f>
        <v>0</v>
      </c>
      <c r="QP12" s="669">
        <f>SUM(QQ12:QR12)</f>
        <v>0</v>
      </c>
      <c r="QQ12" s="516">
        <f>[1]Субсидия_факт!NI10</f>
        <v>0</v>
      </c>
      <c r="QR12" s="752">
        <f>[1]Субсидия_факт!NO10</f>
        <v>0</v>
      </c>
      <c r="QS12" s="466">
        <f>'Прочая  субсидия_МР  и  ГО'!B8</f>
        <v>4967994.57</v>
      </c>
      <c r="QT12" s="466">
        <f>'Прочая  субсидия_МР  и  ГО'!C8</f>
        <v>4026380.55</v>
      </c>
      <c r="QU12" s="579">
        <f>'Прочая  субсидия_БП'!B8</f>
        <v>1306632.6100000001</v>
      </c>
      <c r="QV12" s="498">
        <f>'Прочая  субсидия_БП'!C8</f>
        <v>190930.17000000004</v>
      </c>
      <c r="QW12" s="1186">
        <f>'Прочая  субсидия_БП'!D8</f>
        <v>1306632.6100000001</v>
      </c>
      <c r="QX12" s="1180">
        <f>'Прочая  субсидия_БП'!E8</f>
        <v>190930.17000000004</v>
      </c>
      <c r="QY12" s="1181">
        <f>'Прочая  субсидия_БП'!F8</f>
        <v>0</v>
      </c>
      <c r="QZ12" s="1186">
        <f>'Прочая  субсидия_БП'!G8</f>
        <v>0</v>
      </c>
      <c r="RA12" s="497">
        <f t="shared" ref="RA12" si="86">SUM(RB12:RC12)</f>
        <v>166164583.09000003</v>
      </c>
      <c r="RB12" s="1209">
        <f>'Проверочная  таблица'!SF12+'Проверочная  таблица'!RG12+'Проверочная  таблица'!RI12+'Проверочная  таблица'!RK12+RX12</f>
        <v>160490373.63000003</v>
      </c>
      <c r="RC12" s="1210">
        <f>'Проверочная  таблица'!SG12+'Проверочная  таблица'!RM12+'Проверочная  таблица'!RS12+'Проверочная  таблица'!RO12+'Проверочная  таблица'!RQ12+RU12+RY12+SC12</f>
        <v>5674209.46</v>
      </c>
      <c r="RD12" s="503">
        <f t="shared" ref="RD12" si="87">SUM(RE12:RF12)</f>
        <v>124474973.86000001</v>
      </c>
      <c r="RE12" s="1213">
        <f>'Проверочная  таблица'!SI12+'Проверочная  таблица'!RH12+'Проверочная  таблица'!RJ12+'Проверочная  таблица'!RL12+SA12</f>
        <v>121326858.68000001</v>
      </c>
      <c r="RF12" s="1210">
        <f>'Проверочная  таблица'!SJ12+'Проверочная  таблица'!RN12+'Проверочная  таблица'!RT12+'Проверочная  таблица'!RP12+'Проверочная  таблица'!RR12+RV12+SB12+SD12</f>
        <v>3148115.1799999997</v>
      </c>
      <c r="RG12" s="579">
        <f>'Субвенция  на  полномочия'!B8</f>
        <v>154232588.10000002</v>
      </c>
      <c r="RH12" s="466">
        <f>'Субвенция  на  полномочия'!C8</f>
        <v>117162992.5</v>
      </c>
      <c r="RI12" s="733">
        <f>[1]Субвенция_факт!Q9*1000</f>
        <v>3743950.0000000005</v>
      </c>
      <c r="RJ12" s="736">
        <v>2623032</v>
      </c>
      <c r="RK12" s="733">
        <f>[1]Субвенция_факт!J9*1000</f>
        <v>667675</v>
      </c>
      <c r="RL12" s="736">
        <v>363000</v>
      </c>
      <c r="RM12" s="733">
        <f>[1]Субвенция_факт!AE9*1000</f>
        <v>1588700</v>
      </c>
      <c r="RN12" s="736">
        <v>988284.29</v>
      </c>
      <c r="RO12" s="733">
        <f>[1]Субвенция_факт!AF9*1000</f>
        <v>3000</v>
      </c>
      <c r="RP12" s="736">
        <v>0</v>
      </c>
      <c r="RQ12" s="733">
        <f>[1]Субвенция_факт!E9*1000</f>
        <v>0</v>
      </c>
      <c r="RR12" s="736"/>
      <c r="RS12" s="733">
        <f>[1]Субвенция_факт!F9*1000</f>
        <v>0</v>
      </c>
      <c r="RT12" s="827"/>
      <c r="RU12" s="457">
        <f>[1]Субвенция_факт!G9*1000</f>
        <v>0</v>
      </c>
      <c r="RV12" s="1109"/>
      <c r="RW12" s="503">
        <f t="shared" ref="RW12:RW29" si="88">SUM(RX12:RY12)</f>
        <v>3985055.45</v>
      </c>
      <c r="RX12" s="757">
        <f>[1]Субвенция_факт!N9*1000</f>
        <v>1115815.53</v>
      </c>
      <c r="RY12" s="676">
        <f>[1]Субвенция_факт!O9*1000</f>
        <v>2869239.92</v>
      </c>
      <c r="RZ12" s="503">
        <f t="shared" ref="RZ12:RZ29" si="89">SUM(SA12:SB12)</f>
        <v>1968693.5</v>
      </c>
      <c r="SA12" s="724">
        <v>551234.18000000005</v>
      </c>
      <c r="SB12" s="987">
        <v>1417459.32</v>
      </c>
      <c r="SC12" s="457">
        <f>[1]Субвенция_факт!AG9*1000</f>
        <v>213269.54</v>
      </c>
      <c r="SD12" s="1277"/>
      <c r="SE12" s="498">
        <f t="shared" ref="SE12" si="90">SF12+SG12</f>
        <v>1730345</v>
      </c>
      <c r="SF12" s="1206">
        <f>[1]Субвенция_факт!AD9*1000</f>
        <v>730345</v>
      </c>
      <c r="SG12" s="1561">
        <f>[1]Субвенция_факт!AC9*1000</f>
        <v>1000000</v>
      </c>
      <c r="SH12" s="503">
        <f t="shared" ref="SH12" si="91">SUM(SI12:SJ12)</f>
        <v>1368971.5699999998</v>
      </c>
      <c r="SI12" s="1557">
        <v>626600</v>
      </c>
      <c r="SJ12" s="1635">
        <v>742371.57</v>
      </c>
      <c r="SK12" s="279">
        <f>'Проверочная  таблица'!VC12+'Проверочная  таблица'!UO12+'Проверочная  таблица'!SY12+'Проверочная  таблица'!TC12+UA12+UG12+TK12+TQ12+SM12+SS12</f>
        <v>12760138.02</v>
      </c>
      <c r="SL12" s="457">
        <f>'Проверочная  таблица'!VF12+'Проверочная  таблица'!UV12+'Проверочная  таблица'!TA12+'Проверочная  таблица'!TE12+UD12+UK12+TN12+TT12+SP12+SV12</f>
        <v>10367178.02</v>
      </c>
      <c r="SM12" s="579">
        <f t="shared" ref="SM12:SM29" si="92">SN12+SO12</f>
        <v>8749440</v>
      </c>
      <c r="SN12" s="1206">
        <f>'[1]Иные межбюджетные трансферты'!I10</f>
        <v>0</v>
      </c>
      <c r="SO12" s="1203">
        <f>'[1]Иные межбюджетные трансферты'!K10</f>
        <v>8749440</v>
      </c>
      <c r="SP12" s="503">
        <f t="shared" ref="SP12:SP29" si="93">SUM(SQ12:SR12)</f>
        <v>6356480</v>
      </c>
      <c r="SQ12" s="1419"/>
      <c r="SR12" s="1420">
        <v>6356480</v>
      </c>
      <c r="SS12" s="503">
        <f>SUM(ST12:SU12)</f>
        <v>0</v>
      </c>
      <c r="ST12" s="1202">
        <f>'[1]Иные межбюджетные трансферты'!Y10</f>
        <v>0</v>
      </c>
      <c r="SU12" s="1629">
        <f>'[1]Иные межбюджетные трансферты'!AE10</f>
        <v>0</v>
      </c>
      <c r="SV12" s="503">
        <f>SUM(SW12:SX12)</f>
        <v>0</v>
      </c>
      <c r="SW12" s="1204"/>
      <c r="SX12" s="1420"/>
      <c r="SY12" s="1253">
        <f t="shared" ref="SY12:SY29" si="94">SUM(SZ12:SZ12)</f>
        <v>0</v>
      </c>
      <c r="SZ12" s="1201">
        <f>'[1]Иные межбюджетные трансферты'!AG10</f>
        <v>0</v>
      </c>
      <c r="TA12" s="1194">
        <f t="shared" ref="TA12:TA29" si="95">SUM(TB12:TB12)</f>
        <v>0</v>
      </c>
      <c r="TB12" s="1420"/>
      <c r="TC12" s="1193">
        <f t="shared" ref="TC12:TC29" si="96">SUM(TD12:TD12)</f>
        <v>0</v>
      </c>
      <c r="TD12" s="1201">
        <f>'[1]Иные межбюджетные трансферты'!AI10</f>
        <v>0</v>
      </c>
      <c r="TE12" s="1194">
        <f t="shared" ref="TE12:TE29" si="97">SUM(TF12:TF12)</f>
        <v>0</v>
      </c>
      <c r="TF12" s="1202"/>
      <c r="TG12" s="1197">
        <f t="shared" ref="TG12:TG29" si="98">TC12-TI12</f>
        <v>0</v>
      </c>
      <c r="TH12" s="1196">
        <f t="shared" ref="TH12:TH29" si="99">TE12-TJ12</f>
        <v>0</v>
      </c>
      <c r="TI12" s="1198">
        <f>TC12</f>
        <v>0</v>
      </c>
      <c r="TJ12" s="1196">
        <f>TE12</f>
        <v>0</v>
      </c>
      <c r="TK12" s="1193">
        <f>SUM(TL12:TM12)</f>
        <v>0</v>
      </c>
      <c r="TL12" s="1214"/>
      <c r="TM12" s="1217"/>
      <c r="TN12" s="1193">
        <f>SUM(TO12:TP12)</f>
        <v>0</v>
      </c>
      <c r="TO12" s="624"/>
      <c r="TP12" s="685"/>
      <c r="TQ12" s="1193">
        <f>SUM(TR12:TS12)</f>
        <v>0</v>
      </c>
      <c r="TR12" s="1214">
        <f>'[1]Иные межбюджетные трансферты'!AQ10</f>
        <v>0</v>
      </c>
      <c r="TS12" s="1217">
        <f>'[1]Иные межбюджетные трансферты'!AU10</f>
        <v>0</v>
      </c>
      <c r="TT12" s="1194">
        <f>SUM(TU12:TV12)</f>
        <v>0</v>
      </c>
      <c r="TU12" s="1516"/>
      <c r="TV12" s="1517"/>
      <c r="TW12" s="1197">
        <f>TQ12-TY12</f>
        <v>0</v>
      </c>
      <c r="TX12" s="1197">
        <f>TT12-TZ12</f>
        <v>0</v>
      </c>
      <c r="TY12" s="1197">
        <f>TQ12</f>
        <v>0</v>
      </c>
      <c r="TZ12" s="1196">
        <f>TT12</f>
        <v>0</v>
      </c>
      <c r="UA12" s="1177">
        <f t="shared" ref="UA12:UA29" si="100">SUM(UB12:UC12)</f>
        <v>0</v>
      </c>
      <c r="UB12" s="945">
        <f>'[1]Иные межбюджетные трансферты'!U10</f>
        <v>0</v>
      </c>
      <c r="UC12" s="1133">
        <f>'[1]Иные межбюджетные трансферты'!W10</f>
        <v>0</v>
      </c>
      <c r="UD12" s="734">
        <f t="shared" ref="UD12:UD29" si="101">SUM(UE12:UF12)</f>
        <v>0</v>
      </c>
      <c r="UE12" s="945"/>
      <c r="UF12" s="1133"/>
      <c r="UG12" s="734">
        <f>SUM(UH12:UJ12)</f>
        <v>0</v>
      </c>
      <c r="UH12" s="945">
        <f>'[1]Иные межбюджетные трансферты'!O10</f>
        <v>0</v>
      </c>
      <c r="UI12" s="1133">
        <f>'[1]Иные межбюджетные трансферты'!Q10</f>
        <v>0</v>
      </c>
      <c r="UJ12" s="1133">
        <f>'[1]Иные межбюджетные трансферты'!S10</f>
        <v>0</v>
      </c>
      <c r="UK12" s="734">
        <f>SUM(UL12:UN12)</f>
        <v>0</v>
      </c>
      <c r="UL12" s="1513"/>
      <c r="UM12" s="1426"/>
      <c r="UN12" s="1624"/>
      <c r="UO12" s="1585">
        <f>SUM(UP12:UU12)</f>
        <v>394394.56</v>
      </c>
      <c r="UP12" s="1206">
        <f>'[1]Иные межбюджетные трансферты'!E10</f>
        <v>0</v>
      </c>
      <c r="UQ12" s="1203">
        <f>'[1]Иные межбюджетные трансферты'!G10</f>
        <v>0</v>
      </c>
      <c r="UR12" s="1195">
        <f>'[1]Иные межбюджетные трансферты'!M10</f>
        <v>0</v>
      </c>
      <c r="US12" s="1207"/>
      <c r="UT12" s="1497">
        <f>'[1]Иные межбюджетные трансферты'!AY10</f>
        <v>0</v>
      </c>
      <c r="UU12" s="1539">
        <f>'[1]Иные межбюджетные трансферты'!BA10</f>
        <v>394394.56</v>
      </c>
      <c r="UV12" s="834">
        <f>SUM(UW12:VB12)</f>
        <v>394394.56</v>
      </c>
      <c r="UW12" s="1183"/>
      <c r="UX12" s="1204"/>
      <c r="UY12" s="1425"/>
      <c r="UZ12" s="516"/>
      <c r="VA12" s="518">
        <f t="shared" ref="VA12:VA29" si="102">UT12</f>
        <v>0</v>
      </c>
      <c r="VB12" s="516">
        <f>UU12</f>
        <v>394394.56</v>
      </c>
      <c r="VC12" s="1194">
        <f>SUM(VD12:VE12)</f>
        <v>3616303.46</v>
      </c>
      <c r="VD12" s="1195">
        <f>'[1]Иные межбюджетные трансферты'!AM10</f>
        <v>445363.35000000003</v>
      </c>
      <c r="VE12" s="1586">
        <f>'[1]Иные межбюджетные трансферты'!BC10</f>
        <v>3170940.11</v>
      </c>
      <c r="VF12" s="1494">
        <f>SUM(VG12:VH12)</f>
        <v>3616303.46</v>
      </c>
      <c r="VG12" s="753">
        <v>445363.35</v>
      </c>
      <c r="VH12" s="1251">
        <f>VE12</f>
        <v>3170940.11</v>
      </c>
      <c r="VI12" s="1196">
        <f>SUM(VJ12:VK12)</f>
        <v>3616303.46</v>
      </c>
      <c r="VJ12" s="516">
        <f>'Проверочная  таблица'!VD12-VP12</f>
        <v>445363.35000000003</v>
      </c>
      <c r="VK12" s="516">
        <f>'Проверочная  таблица'!VE12-VQ12</f>
        <v>3170940.11</v>
      </c>
      <c r="VL12" s="1196">
        <f>SUM(VM12:VN12)</f>
        <v>3616303.46</v>
      </c>
      <c r="VM12" s="516">
        <f>'Проверочная  таблица'!VG12-VS12</f>
        <v>445363.35</v>
      </c>
      <c r="VN12" s="516">
        <f>'Проверочная  таблица'!VH12-VT12</f>
        <v>3170940.11</v>
      </c>
      <c r="VO12" s="1196">
        <f>SUM(VP12:VQ12)</f>
        <v>0</v>
      </c>
      <c r="VP12" s="1206">
        <f>'[1]Иные межбюджетные трансферты'!AO10</f>
        <v>0</v>
      </c>
      <c r="VQ12" s="1195">
        <f>'[1]Иные межбюджетные трансферты'!BE10</f>
        <v>0</v>
      </c>
      <c r="VR12" s="1500">
        <f>SUM(VS12:VT12)</f>
        <v>0</v>
      </c>
      <c r="VS12" s="1492"/>
      <c r="VT12" s="518">
        <f>VQ12</f>
        <v>0</v>
      </c>
      <c r="VU12" s="521">
        <f>VW12+'Проверочная  таблица'!WE12+WA12+'Проверочная  таблица'!WI12+WC12+'Проверочная  таблица'!WK12</f>
        <v>-5500000</v>
      </c>
      <c r="VV12" s="503">
        <f>VX12+'Проверочная  таблица'!WF12+WB12+'Проверочная  таблица'!WJ12+WD12+'Проверочная  таблица'!WL12</f>
        <v>-1850000</v>
      </c>
      <c r="VW12" s="522"/>
      <c r="VX12" s="522"/>
      <c r="VY12" s="522"/>
      <c r="VZ12" s="522"/>
      <c r="WA12" s="1188">
        <f t="shared" ref="WA12:WA29" si="103">VY12-WC12</f>
        <v>0</v>
      </c>
      <c r="WB12" s="1189">
        <f t="shared" ref="WB12:WB29" si="104">VZ12-WD12</f>
        <v>0</v>
      </c>
      <c r="WC12" s="1190"/>
      <c r="WD12" s="1191"/>
      <c r="WE12" s="522">
        <v>-5500000</v>
      </c>
      <c r="WF12" s="522">
        <v>-1850000</v>
      </c>
      <c r="WG12" s="522"/>
      <c r="WH12" s="522"/>
      <c r="WI12" s="1188">
        <f t="shared" ref="WI12:WI29" si="105">WG12-WK12</f>
        <v>0</v>
      </c>
      <c r="WJ12" s="1189">
        <f t="shared" ref="WJ12:WJ29" si="106">WH12-WL12</f>
        <v>0</v>
      </c>
      <c r="WK12" s="599"/>
      <c r="WL12" s="868"/>
      <c r="WM12" s="252">
        <f>'Проверочная  таблица'!WE12+'Проверочная  таблица'!WG12</f>
        <v>-5500000</v>
      </c>
      <c r="WN12" s="252">
        <f>'Проверочная  таблица'!WF12+'Проверочная  таблица'!WH12</f>
        <v>-1850000</v>
      </c>
      <c r="WO12" s="1042"/>
    </row>
    <row r="13" spans="1:613" s="338" customFormat="1" ht="25.5" customHeight="1" x14ac:dyDescent="0.25">
      <c r="A13" s="347" t="s">
        <v>80</v>
      </c>
      <c r="B13" s="526">
        <f>D13+AI13+'Проверочная  таблица'!RA13+'Проверочная  таблица'!SK13</f>
        <v>1615648892.8599999</v>
      </c>
      <c r="C13" s="521">
        <f>E13+'Проверочная  таблица'!RD13+AJ13+'Проверочная  таблица'!SL13</f>
        <v>1209899614.3899999</v>
      </c>
      <c r="D13" s="524">
        <f t="shared" si="0"/>
        <v>236796312</v>
      </c>
      <c r="E13" s="526">
        <f t="shared" si="1"/>
        <v>197730000</v>
      </c>
      <c r="F13" s="581">
        <f>'[1]Дотация  из  ОБ_факт'!M9</f>
        <v>31183800</v>
      </c>
      <c r="G13" s="1179">
        <v>23387850</v>
      </c>
      <c r="H13" s="581">
        <f>'[1]Дотация  из  ОБ_факт'!G9</f>
        <v>135797000</v>
      </c>
      <c r="I13" s="1179">
        <v>106603307</v>
      </c>
      <c r="J13" s="835">
        <f t="shared" si="2"/>
        <v>49223000</v>
      </c>
      <c r="K13" s="1182">
        <f t="shared" si="3"/>
        <v>37853307</v>
      </c>
      <c r="L13" s="835">
        <f>'[1]Дотация  из  ОБ_факт'!K9</f>
        <v>86574000</v>
      </c>
      <c r="M13" s="1446">
        <v>68750000</v>
      </c>
      <c r="N13" s="581">
        <f>'[1]Дотация  из  ОБ_факт'!Q9</f>
        <v>4931530</v>
      </c>
      <c r="O13" s="1179">
        <v>4931530</v>
      </c>
      <c r="P13" s="581">
        <f>'[1]Дотация  из  ОБ_факт'!S9</f>
        <v>61463432</v>
      </c>
      <c r="Q13" s="1441">
        <v>59386763</v>
      </c>
      <c r="R13" s="1182">
        <f t="shared" si="4"/>
        <v>26168830</v>
      </c>
      <c r="S13" s="1187">
        <f t="shared" si="5"/>
        <v>24170761</v>
      </c>
      <c r="T13" s="835">
        <f>'[1]Дотация  из  ОБ_факт'!W9</f>
        <v>35294602</v>
      </c>
      <c r="U13" s="1446">
        <v>35216002</v>
      </c>
      <c r="V13" s="581">
        <f>'[1]Дотация  из  ОБ_факт'!AA9+'[1]Дотация  из  ОБ_факт'!AC9+'[1]Дотация  из  ОБ_факт'!AG9</f>
        <v>3420550</v>
      </c>
      <c r="W13" s="461">
        <f t="shared" si="6"/>
        <v>3420550</v>
      </c>
      <c r="X13" s="1185">
        <v>1800000</v>
      </c>
      <c r="Y13" s="908"/>
      <c r="Z13" s="1185">
        <v>1620550</v>
      </c>
      <c r="AA13" s="581">
        <f>'[1]Дотация  из  ОБ_факт'!Y9+'[1]Дотация  из  ОБ_факт'!AE9</f>
        <v>0</v>
      </c>
      <c r="AB13" s="172">
        <f t="shared" si="7"/>
        <v>0</v>
      </c>
      <c r="AC13" s="908"/>
      <c r="AD13" s="1185"/>
      <c r="AE13" s="835">
        <f t="shared" si="8"/>
        <v>0</v>
      </c>
      <c r="AF13" s="1182">
        <f t="shared" si="9"/>
        <v>0</v>
      </c>
      <c r="AG13" s="1187">
        <f>'[1]Дотация  из  ОБ_факт'!AE9</f>
        <v>0</v>
      </c>
      <c r="AH13" s="1480">
        <f t="shared" ref="AH13:AH29" si="107">AD13</f>
        <v>0</v>
      </c>
      <c r="AI13" s="579">
        <f>'Проверочная  таблица'!KW13+'Проверочная  таблица'!QS13+'Проверочная  таблица'!QU13+CS13+CU13+DA13+DC13+BU13+CE13+'Проверочная  таблица'!IQ13+'Проверочная  таблица'!JK13+'Проверочная  таблица'!EE13+'Проверочная  таблица'!KO13+DQ13+'Проверочная  таблица'!HQ13+'Проверочная  таблица'!HW13+'Проверочная  таблица'!LA13+'Проверочная  таблица'!LI13+HK13+FQ13+FE13+NK13+EY13+AK13+AW13+FK13+GM13+GS13+DI13+NQ13+FW13+EK13+OE13+MG13+GG13+PU13+QA13</f>
        <v>565030507.91999996</v>
      </c>
      <c r="AJ13" s="498">
        <f>'Проверочная  таблица'!KY13+'Проверочная  таблица'!QT13+'Проверочная  таблица'!QV13+CT13+CV13+DB13+DD13+BZ13+CJ13+'Проверочная  таблица'!JA13+'Проверочная  таблица'!JP13+'Проверочная  таблица'!EH13+'Проверочная  таблица'!KS13+DX13+'Проверочная  таблица'!HT13+'Проверочная  таблица'!HZ13+'Проверочная  таблица'!LE13+'Проверочная  таблица'!LM13+HN13+FN13+FT13+FH13+NN13+FB13+AQ13+BA13+GP13+GV13+DM13+NX13+FZ13+ER13+OL13+ML13+GJ13+PX13+QD13</f>
        <v>402657246.29999995</v>
      </c>
      <c r="AK13" s="466">
        <f t="shared" ref="AK13:AK29" si="108">SUM(AL13:AP13)</f>
        <v>0</v>
      </c>
      <c r="AL13" s="525">
        <f>[1]Субсидия_факт!CD11</f>
        <v>0</v>
      </c>
      <c r="AM13" s="508">
        <f>[1]Субсидия_факт!EX11</f>
        <v>0</v>
      </c>
      <c r="AN13" s="506">
        <f>[1]Субсидия_факт!FJ11</f>
        <v>0</v>
      </c>
      <c r="AO13" s="525">
        <f>[1]Субсидия_факт!LT11</f>
        <v>0</v>
      </c>
      <c r="AP13" s="622">
        <f>[1]Субсидия_факт!LZ11</f>
        <v>0</v>
      </c>
      <c r="AQ13" s="748">
        <f t="shared" ref="AQ13:AQ29" si="109">SUM(AR13:AV13)</f>
        <v>0</v>
      </c>
      <c r="AR13" s="773"/>
      <c r="AS13" s="773"/>
      <c r="AT13" s="773"/>
      <c r="AU13" s="773"/>
      <c r="AV13" s="531"/>
      <c r="AW13" s="498">
        <f t="shared" si="10"/>
        <v>0</v>
      </c>
      <c r="AX13" s="525">
        <f>[1]Субсидия_факт!CF11</f>
        <v>0</v>
      </c>
      <c r="AY13" s="508">
        <f>[1]Субсидия_факт!FB11</f>
        <v>0</v>
      </c>
      <c r="AZ13" s="646">
        <f>[1]Субсидия_факт!LV11</f>
        <v>0</v>
      </c>
      <c r="BA13" s="466">
        <f t="shared" si="11"/>
        <v>0</v>
      </c>
      <c r="BB13" s="531"/>
      <c r="BC13" s="531"/>
      <c r="BD13" s="532"/>
      <c r="BE13" s="669">
        <f t="shared" si="12"/>
        <v>0</v>
      </c>
      <c r="BF13" s="652">
        <f t="shared" si="13"/>
        <v>0</v>
      </c>
      <c r="BG13" s="525">
        <f t="shared" si="14"/>
        <v>0</v>
      </c>
      <c r="BH13" s="508">
        <f t="shared" si="15"/>
        <v>0</v>
      </c>
      <c r="BI13" s="669">
        <f t="shared" si="16"/>
        <v>0</v>
      </c>
      <c r="BJ13" s="622">
        <f t="shared" si="17"/>
        <v>0</v>
      </c>
      <c r="BK13" s="506">
        <f t="shared" si="18"/>
        <v>0</v>
      </c>
      <c r="BL13" s="508">
        <f t="shared" si="19"/>
        <v>0</v>
      </c>
      <c r="BM13" s="667">
        <f t="shared" si="20"/>
        <v>0</v>
      </c>
      <c r="BN13" s="525">
        <f>[1]Субсидия_факт!CH11</f>
        <v>0</v>
      </c>
      <c r="BO13" s="508">
        <f>[1]Субсидия_факт!FD11</f>
        <v>0</v>
      </c>
      <c r="BP13" s="646">
        <f>[1]Субсидия_факт!LX11</f>
        <v>0</v>
      </c>
      <c r="BQ13" s="669">
        <f t="shared" si="21"/>
        <v>0</v>
      </c>
      <c r="BR13" s="532"/>
      <c r="BS13" s="531"/>
      <c r="BT13" s="532"/>
      <c r="BU13" s="521">
        <f t="shared" ref="BU13:BU29" si="110">SUM(BV13:BY13)</f>
        <v>31971364.27</v>
      </c>
      <c r="BV13" s="562">
        <f>[1]Субсидия_факт!HB11</f>
        <v>0</v>
      </c>
      <c r="BW13" s="516">
        <f>[1]Субсидия_факт!HH11</f>
        <v>31971364.27</v>
      </c>
      <c r="BX13" s="531">
        <f>[1]Субсидия_факт!HP11</f>
        <v>0</v>
      </c>
      <c r="BY13" s="562">
        <f>[1]Субсидия_факт!HV11</f>
        <v>0</v>
      </c>
      <c r="BZ13" s="521">
        <f t="shared" ref="BZ13:BZ29" si="111">SUM(CA13:CD13)</f>
        <v>31971364.27</v>
      </c>
      <c r="CA13" s="531"/>
      <c r="CB13" s="531">
        <v>31971364.27</v>
      </c>
      <c r="CC13" s="625"/>
      <c r="CD13" s="625"/>
      <c r="CE13" s="526">
        <f t="shared" ref="CE13:CE29" si="112">SUM(CF13:CI13)</f>
        <v>20405915.66</v>
      </c>
      <c r="CF13" s="525">
        <f>[1]Субсидия_факт!HD11</f>
        <v>0</v>
      </c>
      <c r="CG13" s="525">
        <f>[1]Субсидия_факт!HJ11</f>
        <v>20405915.66</v>
      </c>
      <c r="CH13" s="531">
        <f>[1]Субсидия_факт!HR11</f>
        <v>0</v>
      </c>
      <c r="CI13" s="646">
        <f>[1]Субсидия_факт!HX11</f>
        <v>0</v>
      </c>
      <c r="CJ13" s="521">
        <f t="shared" ref="CJ13:CJ29" si="113">SUM(CK13:CN13)</f>
        <v>16899838.280000001</v>
      </c>
      <c r="CK13" s="531"/>
      <c r="CL13" s="532">
        <v>16899838.280000001</v>
      </c>
      <c r="CM13" s="625"/>
      <c r="CN13" s="724"/>
      <c r="CO13" s="644">
        <f t="shared" si="22"/>
        <v>0</v>
      </c>
      <c r="CP13" s="587">
        <f t="shared" si="23"/>
        <v>0</v>
      </c>
      <c r="CQ13" s="758">
        <f t="shared" ref="CQ13:CQ29" si="114">CE13</f>
        <v>20405915.66</v>
      </c>
      <c r="CR13" s="644">
        <f t="shared" ref="CR13:CR29" si="115">CJ13</f>
        <v>16899838.280000001</v>
      </c>
      <c r="CS13" s="521">
        <f>[1]Субсидия_факт!FL11</f>
        <v>0</v>
      </c>
      <c r="CT13" s="620"/>
      <c r="CU13" s="521">
        <f>[1]Субсидия_факт!FN11</f>
        <v>70930611.540000007</v>
      </c>
      <c r="CV13" s="620">
        <v>65826022.07</v>
      </c>
      <c r="CW13" s="587">
        <f t="shared" si="24"/>
        <v>0</v>
      </c>
      <c r="CX13" s="758">
        <f t="shared" si="25"/>
        <v>0</v>
      </c>
      <c r="CY13" s="587">
        <f>[1]Субсидия_факт!FP11</f>
        <v>70930611.540000007</v>
      </c>
      <c r="CZ13" s="1480">
        <f>CV13</f>
        <v>65826022.07</v>
      </c>
      <c r="DA13" s="526">
        <f>[1]Субсидия_факт!FR11</f>
        <v>0</v>
      </c>
      <c r="DB13" s="339"/>
      <c r="DC13" s="524">
        <f>[1]Субсидия_факт!FT11</f>
        <v>9083275.5800000001</v>
      </c>
      <c r="DD13" s="339">
        <v>8380607.96</v>
      </c>
      <c r="DE13" s="1218">
        <f t="shared" si="26"/>
        <v>0</v>
      </c>
      <c r="DF13" s="587">
        <f t="shared" si="27"/>
        <v>0</v>
      </c>
      <c r="DG13" s="663">
        <f>[1]Субсидия_факт!FV11</f>
        <v>9083275.5800000001</v>
      </c>
      <c r="DH13" s="1478">
        <f t="shared" ref="DH13:DH29" si="116">DD13</f>
        <v>8380607.96</v>
      </c>
      <c r="DI13" s="498">
        <f t="shared" ref="DI13:DI29" si="117">SUM(DJ13:DL13)</f>
        <v>0</v>
      </c>
      <c r="DJ13" s="625">
        <f>[1]Субсидия_факт!EV11</f>
        <v>0</v>
      </c>
      <c r="DK13" s="516">
        <f>[1]Субсидия_факт!EL11</f>
        <v>0</v>
      </c>
      <c r="DL13" s="838">
        <f>[1]Субсидия_факт!EN11</f>
        <v>0</v>
      </c>
      <c r="DM13" s="466">
        <f t="shared" ref="DM13:DM29" si="118">SUM(DN13:DP13)</f>
        <v>0</v>
      </c>
      <c r="DN13" s="625"/>
      <c r="DO13" s="625"/>
      <c r="DP13" s="987"/>
      <c r="DQ13" s="526">
        <f t="shared" si="28"/>
        <v>0</v>
      </c>
      <c r="DR13" s="508">
        <f>[1]Субсидия_факт!N11</f>
        <v>0</v>
      </c>
      <c r="DS13" s="652">
        <f>[1]Субсидия_факт!P11</f>
        <v>0</v>
      </c>
      <c r="DT13" s="682">
        <f>[1]Субсидия_факт!R11</f>
        <v>0</v>
      </c>
      <c r="DU13" s="506">
        <f>[1]Субсидия_факт!T11</f>
        <v>0</v>
      </c>
      <c r="DV13" s="689">
        <f>[1]Субсидия_факт!V11</f>
        <v>0</v>
      </c>
      <c r="DW13" s="506">
        <f>[1]Субсидия_факт!X11</f>
        <v>0</v>
      </c>
      <c r="DX13" s="521">
        <f t="shared" si="29"/>
        <v>0</v>
      </c>
      <c r="DY13" s="532"/>
      <c r="DZ13" s="531"/>
      <c r="EA13" s="686"/>
      <c r="EB13" s="531"/>
      <c r="EC13" s="686"/>
      <c r="ED13" s="531"/>
      <c r="EE13" s="498">
        <f t="shared" si="30"/>
        <v>0</v>
      </c>
      <c r="EF13" s="516">
        <f>[1]Субсидия_факт!BL11</f>
        <v>0</v>
      </c>
      <c r="EG13" s="838">
        <f>[1]Субсидия_факт!BN11</f>
        <v>0</v>
      </c>
      <c r="EH13" s="466">
        <f t="shared" si="31"/>
        <v>0</v>
      </c>
      <c r="EI13" s="772"/>
      <c r="EJ13" s="987"/>
      <c r="EK13" s="526">
        <f t="shared" si="32"/>
        <v>0</v>
      </c>
      <c r="EL13" s="525">
        <f>[1]Субсидия_факт!AF11</f>
        <v>0</v>
      </c>
      <c r="EM13" s="689">
        <f>[1]Субсидия_факт!AH11</f>
        <v>0</v>
      </c>
      <c r="EN13" s="506">
        <f>[1]Субсидия_факт!AJ11</f>
        <v>0</v>
      </c>
      <c r="EO13" s="866">
        <f>[1]Субсидия_факт!AL11</f>
        <v>0</v>
      </c>
      <c r="EP13" s="622">
        <f>[1]Субсидия_факт!AN11</f>
        <v>0</v>
      </c>
      <c r="EQ13" s="712">
        <f>[1]Субсидия_факт!AP11</f>
        <v>0</v>
      </c>
      <c r="ER13" s="521">
        <f t="shared" si="33"/>
        <v>0</v>
      </c>
      <c r="ES13" s="773"/>
      <c r="ET13" s="686"/>
      <c r="EU13" s="773"/>
      <c r="EV13" s="686"/>
      <c r="EW13" s="773"/>
      <c r="EX13" s="686"/>
      <c r="EY13" s="498">
        <f t="shared" si="34"/>
        <v>0</v>
      </c>
      <c r="EZ13" s="516">
        <f>[1]Субсидия_факт!AV11</f>
        <v>0</v>
      </c>
      <c r="FA13" s="752">
        <f>[1]Субсидия_факт!AX11</f>
        <v>0</v>
      </c>
      <c r="FB13" s="466">
        <f t="shared" si="35"/>
        <v>0</v>
      </c>
      <c r="FC13" s="772"/>
      <c r="FD13" s="678"/>
      <c r="FE13" s="498">
        <f t="shared" si="36"/>
        <v>0</v>
      </c>
      <c r="FF13" s="516">
        <f>[1]Субсидия_факт!BT11</f>
        <v>0</v>
      </c>
      <c r="FG13" s="838">
        <f>[1]Субсидия_факт!BV11</f>
        <v>0</v>
      </c>
      <c r="FH13" s="466">
        <f t="shared" si="37"/>
        <v>0</v>
      </c>
      <c r="FI13" s="772"/>
      <c r="FJ13" s="678"/>
      <c r="FK13" s="498">
        <f t="shared" si="38"/>
        <v>0</v>
      </c>
      <c r="FL13" s="516">
        <f>[1]Субсидия_факт!BP11</f>
        <v>0</v>
      </c>
      <c r="FM13" s="838">
        <f>[1]Субсидия_факт!BR11</f>
        <v>0</v>
      </c>
      <c r="FN13" s="466">
        <f t="shared" si="39"/>
        <v>0</v>
      </c>
      <c r="FO13" s="772"/>
      <c r="FP13" s="678"/>
      <c r="FQ13" s="498">
        <f t="shared" si="40"/>
        <v>0</v>
      </c>
      <c r="FR13" s="516">
        <f>[1]Субсидия_факт!IV11</f>
        <v>0</v>
      </c>
      <c r="FS13" s="838">
        <f>[1]Субсидия_факт!IX11</f>
        <v>0</v>
      </c>
      <c r="FT13" s="466">
        <f t="shared" si="41"/>
        <v>0</v>
      </c>
      <c r="FU13" s="772"/>
      <c r="FV13" s="678"/>
      <c r="FW13" s="498">
        <f t="shared" si="42"/>
        <v>0</v>
      </c>
      <c r="FX13" s="516">
        <f>[1]Субсидия_факт!IZ11</f>
        <v>0</v>
      </c>
      <c r="FY13" s="838">
        <f>[1]Субсидия_факт!JD11</f>
        <v>0</v>
      </c>
      <c r="FZ13" s="466">
        <f t="shared" si="43"/>
        <v>0</v>
      </c>
      <c r="GA13" s="772"/>
      <c r="GB13" s="678"/>
      <c r="GC13" s="667">
        <f t="shared" ref="GC13:GC29" si="119">FW13-GE13</f>
        <v>0</v>
      </c>
      <c r="GD13" s="669">
        <f t="shared" ref="GD13:GD29" si="120">FZ13-GF13</f>
        <v>0</v>
      </c>
      <c r="GE13" s="667">
        <f t="shared" ref="GE13:GE29" si="121">FW13</f>
        <v>0</v>
      </c>
      <c r="GF13" s="669">
        <f t="shared" ref="GF13:GF29" si="122">FZ13</f>
        <v>0</v>
      </c>
      <c r="GG13" s="498">
        <f t="shared" ref="GG13:GG29" si="123">SUM(GH13:GI13)</f>
        <v>0</v>
      </c>
      <c r="GH13" s="1251">
        <f>[1]Субсидия_факт!BH11</f>
        <v>0</v>
      </c>
      <c r="GI13" s="676">
        <f>[1]Субсидия_факт!BJ11</f>
        <v>0</v>
      </c>
      <c r="GJ13" s="498">
        <f t="shared" ref="GJ13:GJ29" si="124">SUM(GK13:GL13)</f>
        <v>0</v>
      </c>
      <c r="GK13" s="724"/>
      <c r="GL13" s="678"/>
      <c r="GM13" s="498">
        <f t="shared" si="44"/>
        <v>0</v>
      </c>
      <c r="GN13" s="516"/>
      <c r="GO13" s="838"/>
      <c r="GP13" s="466">
        <f t="shared" si="45"/>
        <v>0</v>
      </c>
      <c r="GQ13" s="724"/>
      <c r="GR13" s="678"/>
      <c r="GS13" s="498">
        <f t="shared" si="46"/>
        <v>0</v>
      </c>
      <c r="GT13" s="516">
        <f>[1]Субсидия_факт!FZ11</f>
        <v>0</v>
      </c>
      <c r="GU13" s="838">
        <f>[1]Субсидия_факт!GD11</f>
        <v>0</v>
      </c>
      <c r="GV13" s="466">
        <f t="shared" si="47"/>
        <v>0</v>
      </c>
      <c r="GW13" s="724"/>
      <c r="GX13" s="678"/>
      <c r="GY13" s="667">
        <f t="shared" si="48"/>
        <v>0</v>
      </c>
      <c r="GZ13" s="516">
        <f t="shared" ref="GZ13:HD29" si="125">GT13-HF13</f>
        <v>0</v>
      </c>
      <c r="HA13" s="838">
        <f t="shared" si="125"/>
        <v>0</v>
      </c>
      <c r="HB13" s="669">
        <f t="shared" si="49"/>
        <v>0</v>
      </c>
      <c r="HC13" s="516">
        <f t="shared" si="125"/>
        <v>0</v>
      </c>
      <c r="HD13" s="838">
        <f t="shared" si="125"/>
        <v>0</v>
      </c>
      <c r="HE13" s="667">
        <f t="shared" si="50"/>
        <v>0</v>
      </c>
      <c r="HF13" s="516">
        <f>[1]Субсидия_факт!GB11</f>
        <v>0</v>
      </c>
      <c r="HG13" s="838">
        <f>[1]Субсидия_факт!GF11</f>
        <v>0</v>
      </c>
      <c r="HH13" s="669">
        <f t="shared" si="51"/>
        <v>0</v>
      </c>
      <c r="HI13" s="724"/>
      <c r="HJ13" s="678"/>
      <c r="HK13" s="526">
        <f t="shared" ref="HK13:HK29" si="126">SUM(HL13:HM13)</f>
        <v>0</v>
      </c>
      <c r="HL13" s="518">
        <f>[1]Субсидия_факт!DD11</f>
        <v>0</v>
      </c>
      <c r="HM13" s="752">
        <f>[1]Субсидия_факт!DF11</f>
        <v>0</v>
      </c>
      <c r="HN13" s="521">
        <f t="shared" ref="HN13:HN29" si="127">SUM(HO13:HP13)</f>
        <v>0</v>
      </c>
      <c r="HO13" s="531"/>
      <c r="HP13" s="706"/>
      <c r="HQ13" s="579">
        <f t="shared" si="54"/>
        <v>0</v>
      </c>
      <c r="HR13" s="516">
        <f>[1]Субсидия_факт!CR11</f>
        <v>0</v>
      </c>
      <c r="HS13" s="838">
        <f>[1]Субсидия_факт!CX11</f>
        <v>0</v>
      </c>
      <c r="HT13" s="466">
        <f t="shared" si="55"/>
        <v>0</v>
      </c>
      <c r="HU13" s="724"/>
      <c r="HV13" s="678"/>
      <c r="HW13" s="466">
        <f t="shared" si="56"/>
        <v>1938449.83</v>
      </c>
      <c r="HX13" s="516">
        <f>[1]Субсидия_факт!CT11</f>
        <v>542765.99</v>
      </c>
      <c r="HY13" s="752">
        <f>[1]Субсидия_факт!CZ11</f>
        <v>1395683.84</v>
      </c>
      <c r="HZ13" s="466">
        <f t="shared" si="57"/>
        <v>1938449.83</v>
      </c>
      <c r="IA13" s="757">
        <f t="shared" ref="IA13:IA29" si="128">IC13-HU13</f>
        <v>542765.99</v>
      </c>
      <c r="IB13" s="789">
        <f t="shared" ref="IB13:IB29" si="129">ID13-HV13</f>
        <v>1395683.84</v>
      </c>
      <c r="IC13" s="625">
        <v>542765.99</v>
      </c>
      <c r="ID13" s="709">
        <v>1395683.84</v>
      </c>
      <c r="IE13" s="669">
        <f t="shared" si="58"/>
        <v>1732000.58</v>
      </c>
      <c r="IF13" s="750">
        <f>'Проверочная  таблица'!HX13-'Проверочная  таблица'!IL13</f>
        <v>484960.2</v>
      </c>
      <c r="IG13" s="676">
        <f>'Проверочная  таблица'!HY13-'Проверочная  таблица'!IM13</f>
        <v>1247040.3800000001</v>
      </c>
      <c r="IH13" s="663">
        <f t="shared" si="59"/>
        <v>1732000.58</v>
      </c>
      <c r="II13" s="757">
        <f>'Проверочная  таблица'!IA13-'Проверочная  таблица'!IO13</f>
        <v>484960.2</v>
      </c>
      <c r="IJ13" s="768">
        <f>'Проверочная  таблица'!IB13-'Проверочная  таблица'!IP13</f>
        <v>1247040.3800000001</v>
      </c>
      <c r="IK13" s="669">
        <f t="shared" si="60"/>
        <v>206449.25</v>
      </c>
      <c r="IL13" s="516">
        <f>[1]Субсидия_факт!CV11</f>
        <v>57805.79</v>
      </c>
      <c r="IM13" s="838">
        <f>[1]Субсидия_факт!DB11</f>
        <v>148643.46</v>
      </c>
      <c r="IN13" s="669">
        <f t="shared" si="61"/>
        <v>206449.25</v>
      </c>
      <c r="IO13" s="1251">
        <f>IL13</f>
        <v>57805.79</v>
      </c>
      <c r="IP13" s="676">
        <f>IM13</f>
        <v>148643.46</v>
      </c>
      <c r="IQ13" s="466">
        <f t="shared" ref="IQ13:IQ29" si="130">SUM(IR13:IZ13)</f>
        <v>0</v>
      </c>
      <c r="IR13" s="757">
        <f>[1]Субсидия_факт!CJ11</f>
        <v>0</v>
      </c>
      <c r="IS13" s="676">
        <f>[1]Субсидия_факт!CN11</f>
        <v>0</v>
      </c>
      <c r="IT13" s="757">
        <f>[1]Субсидия_факт!DH11</f>
        <v>0</v>
      </c>
      <c r="IU13" s="676">
        <f>[1]Субсидия_факт!DN11</f>
        <v>0</v>
      </c>
      <c r="IV13" s="525">
        <f>[1]Субсидия_факт!DX11</f>
        <v>0</v>
      </c>
      <c r="IW13" s="689">
        <f>[1]Субсидия_факт!DZ11</f>
        <v>0</v>
      </c>
      <c r="IX13" s="1295">
        <f>[1]Субсидия_факт!DT11</f>
        <v>0</v>
      </c>
      <c r="IY13" s="676">
        <f>[1]Субсидия_факт!DV11</f>
        <v>0</v>
      </c>
      <c r="IZ13" s="516">
        <f>[1]Субсидия_факт!EB11</f>
        <v>0</v>
      </c>
      <c r="JA13" s="466">
        <f t="shared" ref="JA13:JA29" si="131">SUM(JB13:JJ13)</f>
        <v>0</v>
      </c>
      <c r="JB13" s="625"/>
      <c r="JC13" s="678"/>
      <c r="JD13" s="625"/>
      <c r="JE13" s="678"/>
      <c r="JF13" s="531"/>
      <c r="JG13" s="706"/>
      <c r="JH13" s="625"/>
      <c r="JI13" s="678"/>
      <c r="JJ13" s="757">
        <f t="shared" ref="JJ13:JJ29" si="132">IZ13</f>
        <v>0</v>
      </c>
      <c r="JK13" s="748">
        <f t="shared" ref="JK13:JK29" si="133">SUM(JL13:JO13)</f>
        <v>0</v>
      </c>
      <c r="JL13" s="757">
        <f>[1]Субсидия_факт!CL11</f>
        <v>0</v>
      </c>
      <c r="JM13" s="676">
        <f>[1]Субсидия_факт!CP11</f>
        <v>0</v>
      </c>
      <c r="JN13" s="757">
        <f>[1]Субсидия_факт!DJ11</f>
        <v>0</v>
      </c>
      <c r="JO13" s="676">
        <f>[1]Субсидия_факт!DP11</f>
        <v>0</v>
      </c>
      <c r="JP13" s="748">
        <f t="shared" ref="JP13:JP29" si="134">SUM(JQ13:JT13)</f>
        <v>0</v>
      </c>
      <c r="JQ13" s="625"/>
      <c r="JR13" s="678"/>
      <c r="JS13" s="625"/>
      <c r="JT13" s="678"/>
      <c r="JU13" s="587">
        <f t="shared" ref="JU13:JU29" si="135">SUM(JV13:JY13)</f>
        <v>0</v>
      </c>
      <c r="JV13" s="757">
        <f>'Проверочная  таблица'!JL13-KF13</f>
        <v>0</v>
      </c>
      <c r="JW13" s="676">
        <f>'Проверочная  таблица'!JM13-KG13</f>
        <v>0</v>
      </c>
      <c r="JX13" s="757">
        <f>'Проверочная  таблица'!JN13-KH13</f>
        <v>0</v>
      </c>
      <c r="JY13" s="676">
        <f>'Проверочная  таблица'!JO13-KI13</f>
        <v>0</v>
      </c>
      <c r="JZ13" s="587">
        <f t="shared" ref="JZ13:JZ29" si="136">SUM(KA13:KD13)</f>
        <v>0</v>
      </c>
      <c r="KA13" s="757">
        <f>'Проверочная  таблица'!JQ13-KK13</f>
        <v>0</v>
      </c>
      <c r="KB13" s="676">
        <f>'Проверочная  таблица'!JR13-KL13</f>
        <v>0</v>
      </c>
      <c r="KC13" s="757">
        <f>'Проверочная  таблица'!JS13-KM13</f>
        <v>0</v>
      </c>
      <c r="KD13" s="789">
        <f>'Проверочная  таблица'!JT13-KN13</f>
        <v>0</v>
      </c>
      <c r="KE13" s="587">
        <f t="shared" ref="KE13:KE29" si="137">SUM(KF13:KI13)</f>
        <v>0</v>
      </c>
      <c r="KF13" s="625"/>
      <c r="KG13" s="678"/>
      <c r="KH13" s="757">
        <f>[1]Субсидия_факт!DL11</f>
        <v>0</v>
      </c>
      <c r="KI13" s="1519">
        <f>[1]Субсидия_факт!DR11</f>
        <v>0</v>
      </c>
      <c r="KJ13" s="587">
        <f t="shared" ref="KJ13:KJ29" si="138">SUM(KK13:KN13)</f>
        <v>0</v>
      </c>
      <c r="KK13" s="753"/>
      <c r="KL13" s="678"/>
      <c r="KM13" s="625"/>
      <c r="KN13" s="678"/>
      <c r="KO13" s="579">
        <f t="shared" ref="KO13:KO29" si="139">SUM(KP13:KR13)</f>
        <v>342198600</v>
      </c>
      <c r="KP13" s="516">
        <f>[1]Субсидия_факт!BX11</f>
        <v>74109466.669999987</v>
      </c>
      <c r="KQ13" s="838">
        <f>[1]Субсидия_факт!BZ11</f>
        <v>190567200</v>
      </c>
      <c r="KR13" s="516">
        <f>[1]Субсидия_факт!CB11</f>
        <v>77521933.329999998</v>
      </c>
      <c r="KS13" s="466">
        <f t="shared" ref="KS13:KS29" si="140">SUM(KT13:KV13)</f>
        <v>218179050.84</v>
      </c>
      <c r="KT13" s="625">
        <v>58656620.820000023</v>
      </c>
      <c r="KU13" s="678">
        <v>150831310.75999999</v>
      </c>
      <c r="KV13" s="625">
        <v>8691119.2599999998</v>
      </c>
      <c r="KW13" s="498">
        <f t="shared" si="62"/>
        <v>0</v>
      </c>
      <c r="KX13" s="508">
        <f>[1]Субсидия_факт!GN11</f>
        <v>0</v>
      </c>
      <c r="KY13" s="466">
        <f t="shared" si="63"/>
        <v>0</v>
      </c>
      <c r="KZ13" s="625"/>
      <c r="LA13" s="754">
        <f>SUM(LB13:LC13)</f>
        <v>0</v>
      </c>
      <c r="LB13" s="516">
        <f>[1]Субсидия_факт!JT11</f>
        <v>0</v>
      </c>
      <c r="LC13" s="838">
        <f>[1]Субсидия_факт!JZ11</f>
        <v>0</v>
      </c>
      <c r="LD13" s="508"/>
      <c r="LE13" s="754">
        <f>SUM(LF13:LG13)</f>
        <v>0</v>
      </c>
      <c r="LF13" s="772"/>
      <c r="LG13" s="678"/>
      <c r="LH13" s="625"/>
      <c r="LI13" s="754">
        <f t="shared" ref="LI13:LI29" si="141">SUM(LJ13:LL13)</f>
        <v>39389863.579999998</v>
      </c>
      <c r="LJ13" s="516">
        <f>[1]Субсидия_факт!JV11</f>
        <v>870000</v>
      </c>
      <c r="LK13" s="838">
        <f>[1]Субсидия_факт!KB11</f>
        <v>16530000</v>
      </c>
      <c r="LL13" s="518">
        <f>[1]Субсидия_факт!KF11</f>
        <v>21989863.579999998</v>
      </c>
      <c r="LM13" s="754">
        <f t="shared" ref="LM13:LM29" si="142">SUM(LN13:LP13)</f>
        <v>30103947.579999998</v>
      </c>
      <c r="LN13" s="625">
        <v>870000</v>
      </c>
      <c r="LO13" s="771">
        <v>16530000</v>
      </c>
      <c r="LP13" s="625">
        <v>12703947.58</v>
      </c>
      <c r="LQ13" s="1226">
        <f t="shared" ref="LQ13:LQ29" si="143">SUM(LR13:LT13)</f>
        <v>0</v>
      </c>
      <c r="LR13" s="652">
        <f>'Проверочная  таблица'!LJ13-LZ13</f>
        <v>0</v>
      </c>
      <c r="LS13" s="682">
        <f>'Проверочная  таблица'!LK13-MA13</f>
        <v>0</v>
      </c>
      <c r="LT13" s="622">
        <f>'Проверочная  таблица'!LL13-MB13</f>
        <v>0</v>
      </c>
      <c r="LU13" s="1226">
        <f t="shared" ref="LU13:LU29" si="144">SUM(LV13:LX13)</f>
        <v>0</v>
      </c>
      <c r="LV13" s="750">
        <f>'Проверочная  таблица'!LN13-MD13</f>
        <v>0</v>
      </c>
      <c r="LW13" s="676">
        <f>'Проверочная  таблица'!LO13-ME13</f>
        <v>0</v>
      </c>
      <c r="LX13" s="757">
        <f>'Проверочная  таблица'!LP13-MF13</f>
        <v>0</v>
      </c>
      <c r="LY13" s="1226">
        <f t="shared" ref="LY13:LY29" si="145">SUM(LZ13:MB13)</f>
        <v>39389863.579999998</v>
      </c>
      <c r="LZ13" s="516">
        <f>[1]Субсидия_факт!JX11</f>
        <v>870000</v>
      </c>
      <c r="MA13" s="838">
        <f>[1]Субсидия_факт!KD11</f>
        <v>16530000</v>
      </c>
      <c r="MB13" s="516">
        <f>[1]Субсидия_факт!KH11</f>
        <v>21989863.579999998</v>
      </c>
      <c r="MC13" s="1226">
        <f t="shared" ref="MC13:MC29" si="146">SUM(MD13:MF13)</f>
        <v>30103947.579999998</v>
      </c>
      <c r="MD13" s="750">
        <f>LN13</f>
        <v>870000</v>
      </c>
      <c r="ME13" s="676">
        <f>LO13</f>
        <v>16530000</v>
      </c>
      <c r="MF13" s="1251">
        <f>LP13</f>
        <v>12703947.58</v>
      </c>
      <c r="MG13" s="521">
        <f t="shared" ref="MG13:MG29" si="147">SUM(MH13:MK13)</f>
        <v>819002.25</v>
      </c>
      <c r="MH13" s="652">
        <f>[1]Субсидия_факт!KR11</f>
        <v>40950.11</v>
      </c>
      <c r="MI13" s="682">
        <f>[1]Субсидия_факт!KV11</f>
        <v>778052.14</v>
      </c>
      <c r="MJ13" s="750">
        <f>[1]Субсидия_факт!KZ11</f>
        <v>0</v>
      </c>
      <c r="MK13" s="1519">
        <f>[1]Субсидия_факт!LD11</f>
        <v>0</v>
      </c>
      <c r="ML13" s="521">
        <f t="shared" ref="ML13:ML29" si="148">SUM(MM13:MP13)</f>
        <v>818999.14999999991</v>
      </c>
      <c r="MM13" s="727">
        <v>40949.96</v>
      </c>
      <c r="MN13" s="706">
        <v>778049.19</v>
      </c>
      <c r="MO13" s="531"/>
      <c r="MP13" s="770"/>
      <c r="MQ13" s="587">
        <f t="shared" ref="MQ13:MQ29" si="149">SUM(MR13:MU13)</f>
        <v>819002.25</v>
      </c>
      <c r="MR13" s="1304">
        <f t="shared" si="64"/>
        <v>40950.11</v>
      </c>
      <c r="MS13" s="682">
        <f t="shared" si="65"/>
        <v>778052.14</v>
      </c>
      <c r="MT13" s="622">
        <f t="shared" si="66"/>
        <v>0</v>
      </c>
      <c r="MU13" s="682">
        <f t="shared" si="67"/>
        <v>0</v>
      </c>
      <c r="MV13" s="587">
        <f t="shared" ref="MV13:MV29" si="150">SUM(MW13:MZ13)</f>
        <v>818999.14999999991</v>
      </c>
      <c r="MW13" s="622">
        <f t="shared" si="68"/>
        <v>40949.96</v>
      </c>
      <c r="MX13" s="682">
        <f t="shared" si="69"/>
        <v>778049.19</v>
      </c>
      <c r="MY13" s="622">
        <f t="shared" si="70"/>
        <v>0</v>
      </c>
      <c r="MZ13" s="682">
        <f t="shared" si="71"/>
        <v>0</v>
      </c>
      <c r="NA13" s="587">
        <f t="shared" ref="NA13:NA29" si="151">SUM(NB13:NE13)</f>
        <v>0</v>
      </c>
      <c r="NB13" s="1079">
        <f>[1]Субсидия_факт!KT11</f>
        <v>0</v>
      </c>
      <c r="NC13" s="682">
        <f>[1]Субсидия_факт!KX11</f>
        <v>0</v>
      </c>
      <c r="ND13" s="625">
        <f>[1]Субсидия_факт!LB11</f>
        <v>0</v>
      </c>
      <c r="NE13" s="709">
        <f>[1]Субсидия_факт!LF11</f>
        <v>0</v>
      </c>
      <c r="NF13" s="587">
        <f t="shared" ref="NF13:NF29" si="152">SUM(NG13:NJ13)</f>
        <v>0</v>
      </c>
      <c r="NG13" s="622"/>
      <c r="NH13" s="712"/>
      <c r="NI13" s="531"/>
      <c r="NJ13" s="706"/>
      <c r="NK13" s="498">
        <f t="shared" si="72"/>
        <v>0</v>
      </c>
      <c r="NL13" s="516">
        <f>[1]Субсидия_факт!AB11</f>
        <v>0</v>
      </c>
      <c r="NM13" s="838">
        <f>[1]Субсидия_факт!AD11</f>
        <v>0</v>
      </c>
      <c r="NN13" s="466">
        <f t="shared" si="73"/>
        <v>0</v>
      </c>
      <c r="NO13" s="772"/>
      <c r="NP13" s="987"/>
      <c r="NQ13" s="521">
        <f t="shared" ref="NQ13:NQ29" si="153">SUM(NR13:NW13)</f>
        <v>0</v>
      </c>
      <c r="NR13" s="506">
        <f>[1]Субсидия_факт!LH11</f>
        <v>0</v>
      </c>
      <c r="NS13" s="866">
        <f>[1]Субсидия_факт!LJ11</f>
        <v>0</v>
      </c>
      <c r="NT13" s="525">
        <f>[1]Субсидия_факт!MN11</f>
        <v>0</v>
      </c>
      <c r="NU13" s="689">
        <f>[1]Субсидия_факт!MP11</f>
        <v>0</v>
      </c>
      <c r="NV13" s="1147">
        <f>[1]Субсидия_факт!MB11</f>
        <v>0</v>
      </c>
      <c r="NW13" s="682">
        <f>[1]Субсидия_факт!MH11</f>
        <v>0</v>
      </c>
      <c r="NX13" s="521">
        <f t="shared" ref="NX13:NX29" si="154">SUM(NY13:OD13)</f>
        <v>0</v>
      </c>
      <c r="NY13" s="773"/>
      <c r="NZ13" s="686"/>
      <c r="OA13" s="773"/>
      <c r="OB13" s="686"/>
      <c r="OC13" s="342"/>
      <c r="OD13" s="1279"/>
      <c r="OE13" s="521">
        <f t="shared" ref="OE13:OE29" si="155">SUM(OF13:OK13)</f>
        <v>0</v>
      </c>
      <c r="OF13" s="652">
        <f>[1]Субсидия_факт!KJ11</f>
        <v>0</v>
      </c>
      <c r="OG13" s="682">
        <f>[1]Субсидия_факт!KN11</f>
        <v>0</v>
      </c>
      <c r="OH13" s="652">
        <f>[1]Субсидия_факт!LL11</f>
        <v>0</v>
      </c>
      <c r="OI13" s="682">
        <f>[1]Субсидия_факт!LP11</f>
        <v>0</v>
      </c>
      <c r="OJ13" s="652">
        <f>[1]Субсидия_факт!MD11</f>
        <v>0</v>
      </c>
      <c r="OK13" s="682">
        <f>[1]Субсидия_факт!MJ11</f>
        <v>0</v>
      </c>
      <c r="OL13" s="521">
        <f t="shared" ref="OL13:OL29" si="156">SUM(OM13:OR13)</f>
        <v>0</v>
      </c>
      <c r="OM13" s="622"/>
      <c r="ON13" s="712"/>
      <c r="OO13" s="773"/>
      <c r="OP13" s="686"/>
      <c r="OQ13" s="622"/>
      <c r="OR13" s="712"/>
      <c r="OS13" s="587">
        <f t="shared" ref="OS13:OS29" si="157">SUM(OT13:OY13)</f>
        <v>0</v>
      </c>
      <c r="OT13" s="1079">
        <f t="shared" si="74"/>
        <v>0</v>
      </c>
      <c r="OU13" s="682">
        <f t="shared" si="75"/>
        <v>0</v>
      </c>
      <c r="OV13" s="1079">
        <f t="shared" si="76"/>
        <v>0</v>
      </c>
      <c r="OW13" s="682">
        <f t="shared" si="77"/>
        <v>0</v>
      </c>
      <c r="OX13" s="652">
        <f t="shared" si="78"/>
        <v>0</v>
      </c>
      <c r="OY13" s="682">
        <f t="shared" si="79"/>
        <v>0</v>
      </c>
      <c r="OZ13" s="587">
        <f t="shared" ref="OZ13:OZ29" si="158">SUM(PA13:PF13)</f>
        <v>0</v>
      </c>
      <c r="PA13" s="1079">
        <f t="shared" si="80"/>
        <v>0</v>
      </c>
      <c r="PB13" s="682">
        <f t="shared" si="81"/>
        <v>0</v>
      </c>
      <c r="PC13" s="1079">
        <f t="shared" si="82"/>
        <v>0</v>
      </c>
      <c r="PD13" s="682">
        <f t="shared" si="83"/>
        <v>0</v>
      </c>
      <c r="PE13" s="652">
        <f t="shared" si="84"/>
        <v>0</v>
      </c>
      <c r="PF13" s="682">
        <f t="shared" si="85"/>
        <v>0</v>
      </c>
      <c r="PG13" s="587">
        <f t="shared" ref="PG13:PG29" si="159">SUM(PH13:PM13)</f>
        <v>0</v>
      </c>
      <c r="PH13" s="1079">
        <f>[1]Субсидия_факт!KL11</f>
        <v>0</v>
      </c>
      <c r="PI13" s="682">
        <f>[1]Субсидия_факт!KP11</f>
        <v>0</v>
      </c>
      <c r="PJ13" s="652">
        <f>[1]Субсидия_факт!LN11</f>
        <v>0</v>
      </c>
      <c r="PK13" s="682">
        <f>[1]Субсидия_факт!LR11</f>
        <v>0</v>
      </c>
      <c r="PL13" s="652">
        <f>[1]Субсидия_факт!MF11</f>
        <v>0</v>
      </c>
      <c r="PM13" s="682">
        <f>[1]Субсидия_факт!ML11</f>
        <v>0</v>
      </c>
      <c r="PN13" s="587">
        <f t="shared" ref="PN13:PN29" si="160">SUM(PO13:PT13)</f>
        <v>0</v>
      </c>
      <c r="PO13" s="622"/>
      <c r="PP13" s="712"/>
      <c r="PQ13" s="773"/>
      <c r="PR13" s="686"/>
      <c r="PS13" s="622"/>
      <c r="PT13" s="712"/>
      <c r="PU13" s="466">
        <f t="shared" ref="PU13:PU29" si="161">SUM(PV13:PW13)</f>
        <v>0</v>
      </c>
      <c r="PV13" s="516">
        <f>[1]Субсидия_факт!MR11</f>
        <v>0</v>
      </c>
      <c r="PW13" s="838">
        <f>[1]Субсидия_факт!MX11</f>
        <v>0</v>
      </c>
      <c r="PX13" s="466">
        <f t="shared" ref="PX13:PX29" si="162">SUM(PY13:PZ13)</f>
        <v>0</v>
      </c>
      <c r="PY13" s="724"/>
      <c r="PZ13" s="678"/>
      <c r="QA13" s="579">
        <f t="shared" ref="QA13:QA29" si="163">SUM(QB13:QC13)</f>
        <v>0</v>
      </c>
      <c r="QB13" s="516">
        <f>[1]Субсидия_факт!MT11</f>
        <v>0</v>
      </c>
      <c r="QC13" s="838">
        <f>[1]Субсидия_факт!MZ11</f>
        <v>0</v>
      </c>
      <c r="QD13" s="466">
        <f t="shared" ref="QD13:QD29" si="164">SUM(QE13:QF13)</f>
        <v>0</v>
      </c>
      <c r="QE13" s="724"/>
      <c r="QF13" s="987"/>
      <c r="QG13" s="669">
        <f t="shared" ref="QG13:QG29" si="165">SUM(QH13:QI13)</f>
        <v>0</v>
      </c>
      <c r="QH13" s="516">
        <f t="shared" ref="QH13:QH29" si="166">QB13-QN13</f>
        <v>0</v>
      </c>
      <c r="QI13" s="838">
        <f t="shared" ref="QI13:QI29" si="167">QC13-QO13</f>
        <v>0</v>
      </c>
      <c r="QJ13" s="669">
        <f t="shared" ref="QJ13:QJ29" si="168">SUM(QK13:QL13)</f>
        <v>0</v>
      </c>
      <c r="QK13" s="516">
        <f t="shared" ref="QK13:QK29" si="169">QE13-QQ13</f>
        <v>0</v>
      </c>
      <c r="QL13" s="838">
        <f t="shared" ref="QL13:QL29" si="170">QF13-QR13</f>
        <v>0</v>
      </c>
      <c r="QM13" s="669">
        <f t="shared" ref="QM13:QM29" si="171">SUM(QN13:QO13)</f>
        <v>0</v>
      </c>
      <c r="QN13" s="516">
        <f>[1]Субсидия_факт!MV11</f>
        <v>0</v>
      </c>
      <c r="QO13" s="838">
        <f>[1]Субсидия_факт!NB11</f>
        <v>0</v>
      </c>
      <c r="QP13" s="669">
        <f t="shared" ref="QP13:QP29" si="172">SUM(QQ13:QR13)</f>
        <v>0</v>
      </c>
      <c r="QQ13" s="516">
        <f>[1]Субсидия_факт!NI11</f>
        <v>0</v>
      </c>
      <c r="QR13" s="752">
        <f>[1]Субсидия_факт!NO11</f>
        <v>0</v>
      </c>
      <c r="QS13" s="521">
        <f>'Прочая  субсидия_МР  и  ГО'!B9</f>
        <v>18037024.900000002</v>
      </c>
      <c r="QT13" s="521">
        <f>'Прочая  субсидия_МР  и  ГО'!C9</f>
        <v>13997628.690000001</v>
      </c>
      <c r="QU13" s="524">
        <f>'Прочая  субсидия_БП'!B9</f>
        <v>30256400.309999999</v>
      </c>
      <c r="QV13" s="526">
        <f>'Прочая  субсидия_БП'!C9</f>
        <v>14541337.630000001</v>
      </c>
      <c r="QW13" s="1187">
        <f>'Прочая  субсидия_БП'!D9</f>
        <v>654259.91</v>
      </c>
      <c r="QX13" s="835">
        <f>'Прочая  субсидия_БП'!E9</f>
        <v>482881.84999999992</v>
      </c>
      <c r="QY13" s="1182">
        <f>'Прочая  субсидия_БП'!F9</f>
        <v>29602140.399999999</v>
      </c>
      <c r="QZ13" s="1187">
        <f>'Прочая  субсидия_БП'!G9</f>
        <v>14058455.780000001</v>
      </c>
      <c r="RA13" s="526">
        <f t="shared" ref="RA13:RA29" si="173">SUM(RB13:RC13)</f>
        <v>678665333.66999996</v>
      </c>
      <c r="RB13" s="525">
        <f>'Проверочная  таблица'!SF13+'Проверочная  таблица'!RG13+'Проверочная  таблица'!RI13+'Проверочная  таблица'!RK13+RX13</f>
        <v>649237339.86000001</v>
      </c>
      <c r="RC13" s="508">
        <f>'Проверочная  таблица'!SG13+'Проверочная  таблица'!RM13+'Проверочная  таблица'!RS13+'Проверочная  таблица'!RO13+'Проверочная  таблица'!RQ13+RU13+RY13+SC13</f>
        <v>29427993.809999999</v>
      </c>
      <c r="RD13" s="521">
        <f t="shared" ref="RD13:RD29" si="174">SUM(RE13:RF13)</f>
        <v>507047388.81999999</v>
      </c>
      <c r="RE13" s="506">
        <f>'Проверочная  таблица'!SI13+'Проверочная  таблица'!RH13+'Проверочная  таблица'!RJ13+'Проверочная  таблица'!RL13+SA13</f>
        <v>493183824.74000001</v>
      </c>
      <c r="RF13" s="508">
        <f>'Проверочная  таблица'!SJ13+'Проверочная  таблица'!RN13+'Проверочная  таблица'!RT13+'Проверочная  таблица'!RP13+'Проверочная  таблица'!RR13+RV13+SB13+SD13</f>
        <v>13863564.08</v>
      </c>
      <c r="RG13" s="579">
        <f>'Субвенция  на  полномочия'!B9</f>
        <v>617232016.86000001</v>
      </c>
      <c r="RH13" s="466">
        <f>'Субвенция  на  полномочия'!C9</f>
        <v>471566524.5</v>
      </c>
      <c r="RI13" s="733">
        <f>[1]Субвенция_факт!Q10*1000</f>
        <v>19820282.000000004</v>
      </c>
      <c r="RJ13" s="736">
        <v>15300000</v>
      </c>
      <c r="RK13" s="733">
        <f>[1]Субвенция_факт!J10*1000</f>
        <v>1608095.0000000002</v>
      </c>
      <c r="RL13" s="736">
        <v>1100000</v>
      </c>
      <c r="RM13" s="733">
        <f>[1]Субвенция_факт!AE10*1000</f>
        <v>2268500</v>
      </c>
      <c r="RN13" s="736">
        <v>1401689.7100000002</v>
      </c>
      <c r="RO13" s="733">
        <f>[1]Субвенция_факт!AF10*1000</f>
        <v>0</v>
      </c>
      <c r="RP13" s="736">
        <v>0</v>
      </c>
      <c r="RQ13" s="733">
        <f>[1]Субвенция_факт!E10*1000</f>
        <v>0</v>
      </c>
      <c r="RR13" s="736"/>
      <c r="RS13" s="733">
        <f>[1]Субвенция_факт!F10*1000</f>
        <v>703925.99999999988</v>
      </c>
      <c r="RT13" s="827">
        <v>703926</v>
      </c>
      <c r="RU13" s="170">
        <f>[1]Субвенция_факт!G10*1000</f>
        <v>0</v>
      </c>
      <c r="RV13" s="1109"/>
      <c r="RW13" s="521">
        <f t="shared" si="88"/>
        <v>32255717.859999999</v>
      </c>
      <c r="RX13" s="622">
        <f>[1]Субвенция_факт!N10*1000</f>
        <v>9031601</v>
      </c>
      <c r="RY13" s="682">
        <f>[1]Субвенция_факт!O10*1000</f>
        <v>23224116.859999999</v>
      </c>
      <c r="RZ13" s="521">
        <f t="shared" si="89"/>
        <v>14006983</v>
      </c>
      <c r="SA13" s="773">
        <v>3921955.24</v>
      </c>
      <c r="SB13" s="1279">
        <v>10085027.76</v>
      </c>
      <c r="SC13" s="170">
        <f>[1]Субвенция_факт!AG10*1000</f>
        <v>1231450.95</v>
      </c>
      <c r="SD13" s="1277"/>
      <c r="SE13" s="498">
        <f t="shared" ref="SE13:SE29" si="175">SF13+SG13</f>
        <v>3545345</v>
      </c>
      <c r="SF13" s="833">
        <f>[1]Субвенция_факт!AD10*1000</f>
        <v>1545345</v>
      </c>
      <c r="SG13" s="1562">
        <f>[1]Субвенция_факт!AC10*1000</f>
        <v>2000000</v>
      </c>
      <c r="SH13" s="521">
        <f t="shared" ref="SH13:SH29" si="176">SUM(SI13:SJ13)</f>
        <v>2968265.6100000003</v>
      </c>
      <c r="SI13" s="1557">
        <v>1295345</v>
      </c>
      <c r="SJ13" s="1635">
        <v>1672920.61</v>
      </c>
      <c r="SK13" s="280">
        <f>'Проверочная  таблица'!VC13+'Проверочная  таблица'!UO13+'Проверочная  таблица'!SY13+'Проверочная  таблица'!TC13+UA13+UG13+TK13+TQ13+SM13+SS13</f>
        <v>135156739.26999998</v>
      </c>
      <c r="SL13" s="170">
        <f>'Проверочная  таблица'!VF13+'Проверочная  таблица'!UV13+'Проверочная  таблица'!TA13+'Проверочная  таблица'!TE13+UD13+UK13+TN13+TT13+SP13+SV13</f>
        <v>102464979.27</v>
      </c>
      <c r="SM13" s="524">
        <f t="shared" si="92"/>
        <v>30701160</v>
      </c>
      <c r="SN13" s="833">
        <f>'[1]Иные межбюджетные трансферты'!I11</f>
        <v>0</v>
      </c>
      <c r="SO13" s="880">
        <f>'[1]Иные межбюджетные трансферты'!K11</f>
        <v>30701160</v>
      </c>
      <c r="SP13" s="521">
        <f t="shared" si="93"/>
        <v>23009400</v>
      </c>
      <c r="SQ13" s="1421"/>
      <c r="SR13" s="1422">
        <v>23009400</v>
      </c>
      <c r="SS13" s="521">
        <f t="shared" ref="SS13:SS29" si="177">SUM(ST13:SU13)</f>
        <v>0</v>
      </c>
      <c r="ST13" s="1082">
        <f>'[1]Иные межбюджетные трансферты'!Y11</f>
        <v>0</v>
      </c>
      <c r="SU13" s="1630">
        <f>'[1]Иные межбюджетные трансферты'!AE11</f>
        <v>0</v>
      </c>
      <c r="SV13" s="521">
        <f t="shared" ref="SV13:SV29" si="178">SUM(SW13:SX13)</f>
        <v>0</v>
      </c>
      <c r="SW13" s="906"/>
      <c r="SX13" s="1422"/>
      <c r="SY13" s="1254">
        <f t="shared" si="94"/>
        <v>0</v>
      </c>
      <c r="SZ13" s="1009">
        <f>'[1]Иные межбюджетные трансферты'!AG11</f>
        <v>0</v>
      </c>
      <c r="TA13" s="899">
        <f t="shared" si="95"/>
        <v>0</v>
      </c>
      <c r="TB13" s="1422"/>
      <c r="TC13" s="903">
        <f t="shared" si="96"/>
        <v>0</v>
      </c>
      <c r="TD13" s="1009">
        <f>'[1]Иные межбюджетные трансферты'!AI11</f>
        <v>0</v>
      </c>
      <c r="TE13" s="899">
        <f t="shared" si="97"/>
        <v>0</v>
      </c>
      <c r="TF13" s="1082"/>
      <c r="TG13" s="820">
        <f t="shared" si="98"/>
        <v>0</v>
      </c>
      <c r="TH13" s="1199">
        <f t="shared" si="99"/>
        <v>0</v>
      </c>
      <c r="TI13" s="1200">
        <f t="shared" ref="TI13:TI29" si="179">TC13</f>
        <v>0</v>
      </c>
      <c r="TJ13" s="1199">
        <f t="shared" ref="TJ13:TJ29" si="180">TE13</f>
        <v>0</v>
      </c>
      <c r="TK13" s="903">
        <f t="shared" ref="TK13:TK29" si="181">SUM(TL13:TM13)</f>
        <v>0</v>
      </c>
      <c r="TL13" s="1079"/>
      <c r="TM13" s="682"/>
      <c r="TN13" s="903">
        <f t="shared" ref="TN13:TN29" si="182">SUM(TO13:TP13)</f>
        <v>0</v>
      </c>
      <c r="TO13" s="773"/>
      <c r="TP13" s="686"/>
      <c r="TQ13" s="903">
        <f t="shared" ref="TQ13:TQ29" si="183">SUM(TR13:TS13)</f>
        <v>95000000</v>
      </c>
      <c r="TR13" s="1079">
        <f>'[1]Иные межбюджетные трансферты'!AQ11</f>
        <v>25000000</v>
      </c>
      <c r="TS13" s="682">
        <f>'[1]Иные межбюджетные трансферты'!AU11</f>
        <v>70000000</v>
      </c>
      <c r="TT13" s="899">
        <f t="shared" ref="TT13:TT29" si="184">SUM(TU13:TV13)</f>
        <v>70000000</v>
      </c>
      <c r="TU13" s="753"/>
      <c r="TV13" s="771">
        <v>70000000</v>
      </c>
      <c r="TW13" s="820">
        <f t="shared" ref="TW13:TW29" si="185">TQ13-TY13</f>
        <v>0</v>
      </c>
      <c r="TX13" s="820">
        <f t="shared" ref="TX13:TX29" si="186">TT13-TZ13</f>
        <v>0</v>
      </c>
      <c r="TY13" s="820">
        <f t="shared" ref="TY13:TY29" si="187">TQ13</f>
        <v>95000000</v>
      </c>
      <c r="TZ13" s="1199">
        <f t="shared" ref="TZ13:TZ29" si="188">TT13</f>
        <v>70000000</v>
      </c>
      <c r="UA13" s="1134">
        <f t="shared" si="100"/>
        <v>0</v>
      </c>
      <c r="UB13" s="945">
        <f>'[1]Иные межбюджетные трансферты'!U11</f>
        <v>0</v>
      </c>
      <c r="UC13" s="1133">
        <f>'[1]Иные межбюджетные трансферты'!W11</f>
        <v>0</v>
      </c>
      <c r="UD13" s="734">
        <f t="shared" si="101"/>
        <v>0</v>
      </c>
      <c r="UE13" s="945"/>
      <c r="UF13" s="1133"/>
      <c r="UG13" s="734">
        <f t="shared" ref="UG13:UG29" si="189">SUM(UH13:UJ13)</f>
        <v>0</v>
      </c>
      <c r="UH13" s="945">
        <f>'[1]Иные межбюджетные трансферты'!O11</f>
        <v>0</v>
      </c>
      <c r="UI13" s="1133">
        <f>'[1]Иные межбюджетные трансферты'!Q11</f>
        <v>0</v>
      </c>
      <c r="UJ13" s="1133">
        <f>'[1]Иные межбюджетные трансферты'!S11</f>
        <v>0</v>
      </c>
      <c r="UK13" s="734">
        <f t="shared" ref="UK13:UK29" si="190">SUM(UL13:UN13)</f>
        <v>0</v>
      </c>
      <c r="UL13" s="1513"/>
      <c r="UM13" s="1426"/>
      <c r="UN13" s="1624"/>
      <c r="UO13" s="1585">
        <f t="shared" ref="UO13:UO29" si="191">SUM(UP13:UU13)</f>
        <v>3447551.94</v>
      </c>
      <c r="UP13" s="833">
        <f>'[1]Иные межбюджетные трансферты'!E11</f>
        <v>0</v>
      </c>
      <c r="UQ13" s="880">
        <f>'[1]Иные межбюджетные трансферты'!G11</f>
        <v>0</v>
      </c>
      <c r="UR13" s="830">
        <f>'[1]Иные межбюджетные трансферты'!M11</f>
        <v>735896</v>
      </c>
      <c r="US13" s="1044"/>
      <c r="UT13" s="1498">
        <f>'[1]Иные межбюджетные трансферты'!AY11</f>
        <v>0</v>
      </c>
      <c r="UU13" s="1539">
        <f>'[1]Иные межбюджетные трансферты'!BA11</f>
        <v>2711655.94</v>
      </c>
      <c r="UV13" s="834">
        <f t="shared" ref="UV13:UV29" si="192">SUM(UW13:VB13)</f>
        <v>3447551.94</v>
      </c>
      <c r="UW13" s="908"/>
      <c r="UX13" s="906"/>
      <c r="UY13" s="1425">
        <v>735896</v>
      </c>
      <c r="UZ13" s="516"/>
      <c r="VA13" s="518">
        <f t="shared" si="102"/>
        <v>0</v>
      </c>
      <c r="VB13" s="516">
        <f t="shared" ref="VB13:VB29" si="193">UU13</f>
        <v>2711655.94</v>
      </c>
      <c r="VC13" s="899">
        <f t="shared" ref="VC13:VC29" si="194">SUM(VD13:VE13)</f>
        <v>6008027.3300000001</v>
      </c>
      <c r="VD13" s="830">
        <f>'[1]Иные межбюджетные трансферты'!AM11</f>
        <v>0</v>
      </c>
      <c r="VE13" s="1587">
        <f>'[1]Иные межбюджетные трансферты'!BC11</f>
        <v>6008027.3300000001</v>
      </c>
      <c r="VF13" s="1495">
        <f t="shared" ref="VF13:VF29" si="195">SUM(VG13:VH13)</f>
        <v>6008027.3300000001</v>
      </c>
      <c r="VG13" s="753"/>
      <c r="VH13" s="1251">
        <f t="shared" ref="VH13:VH29" si="196">VE13</f>
        <v>6008027.3300000001</v>
      </c>
      <c r="VI13" s="1199">
        <f t="shared" ref="VI13:VI29" si="197">SUM(VJ13:VK13)</f>
        <v>4355206.16</v>
      </c>
      <c r="VJ13" s="516">
        <f>'Проверочная  таблица'!VD13-VP13</f>
        <v>0</v>
      </c>
      <c r="VK13" s="516">
        <f>'Проверочная  таблица'!VE13-VQ13</f>
        <v>4355206.16</v>
      </c>
      <c r="VL13" s="1199">
        <f t="shared" ref="VL13:VL29" si="198">SUM(VM13:VN13)</f>
        <v>4355206.16</v>
      </c>
      <c r="VM13" s="516">
        <f>'Проверочная  таблица'!VG13-VS13</f>
        <v>0</v>
      </c>
      <c r="VN13" s="516">
        <f>'Проверочная  таблица'!VH13-VT13</f>
        <v>4355206.16</v>
      </c>
      <c r="VO13" s="1199">
        <f t="shared" ref="VO13:VO29" si="199">SUM(VP13:VQ13)</f>
        <v>1652821.17</v>
      </c>
      <c r="VP13" s="833">
        <f>'[1]Иные межбюджетные трансферты'!AO11</f>
        <v>0</v>
      </c>
      <c r="VQ13" s="830">
        <f>'[1]Иные межбюджетные трансферты'!BE11</f>
        <v>1652821.17</v>
      </c>
      <c r="VR13" s="1501">
        <f t="shared" ref="VR13:VR29" si="200">SUM(VS13:VT13)</f>
        <v>1652821.17</v>
      </c>
      <c r="VS13" s="1492"/>
      <c r="VT13" s="518">
        <f t="shared" ref="VT13:VT29" si="201">VQ13</f>
        <v>1652821.17</v>
      </c>
      <c r="VU13" s="521">
        <f>VW13+'Проверочная  таблица'!WE13+WA13+'Проверочная  таблица'!WI13+WC13+'Проверочная  таблица'!WK13</f>
        <v>0</v>
      </c>
      <c r="VV13" s="521">
        <f>VX13+'Проверочная  таблица'!WF13+WB13+'Проверочная  таблица'!WJ13+WD13+'Проверочная  таблица'!WL13</f>
        <v>0</v>
      </c>
      <c r="VW13" s="533"/>
      <c r="VX13" s="533"/>
      <c r="VY13" s="533"/>
      <c r="VZ13" s="533"/>
      <c r="WA13" s="644">
        <f t="shared" si="103"/>
        <v>0</v>
      </c>
      <c r="WB13" s="587">
        <f t="shared" si="104"/>
        <v>0</v>
      </c>
      <c r="WC13" s="1192"/>
      <c r="WD13" s="868"/>
      <c r="WE13" s="533"/>
      <c r="WF13" s="533"/>
      <c r="WG13" s="533"/>
      <c r="WH13" s="533"/>
      <c r="WI13" s="644">
        <f t="shared" si="105"/>
        <v>0</v>
      </c>
      <c r="WJ13" s="587">
        <f t="shared" si="106"/>
        <v>0</v>
      </c>
      <c r="WK13" s="868"/>
      <c r="WL13" s="868"/>
      <c r="WM13" s="252">
        <f>'Проверочная  таблица'!WE13+'Проверочная  таблица'!WG13</f>
        <v>0</v>
      </c>
      <c r="WN13" s="252">
        <f>'Проверочная  таблица'!WF13+'Проверочная  таблица'!WH13</f>
        <v>0</v>
      </c>
      <c r="WO13" s="1042"/>
    </row>
    <row r="14" spans="1:613" s="338" customFormat="1" ht="25.5" customHeight="1" x14ac:dyDescent="0.25">
      <c r="A14" s="348" t="s">
        <v>81</v>
      </c>
      <c r="B14" s="526">
        <f>D14+AI14+'Проверочная  таблица'!RA14+'Проверочная  таблица'!SK14</f>
        <v>984383803.23999989</v>
      </c>
      <c r="C14" s="521">
        <f>E14+'Проверочная  таблица'!RD14+AJ14+'Проверочная  таблица'!SL14</f>
        <v>691196279.6099999</v>
      </c>
      <c r="D14" s="524">
        <f t="shared" si="0"/>
        <v>207600415</v>
      </c>
      <c r="E14" s="526">
        <f t="shared" si="1"/>
        <v>146807735.56</v>
      </c>
      <c r="F14" s="581">
        <f>'[1]Дотация  из  ОБ_факт'!M10</f>
        <v>94696900</v>
      </c>
      <c r="G14" s="963">
        <v>71715000</v>
      </c>
      <c r="H14" s="581">
        <f>'[1]Дотация  из  ОБ_факт'!G10</f>
        <v>14763000</v>
      </c>
      <c r="I14" s="963">
        <v>10922470</v>
      </c>
      <c r="J14" s="582">
        <f t="shared" si="2"/>
        <v>7494000</v>
      </c>
      <c r="K14" s="588">
        <f t="shared" si="3"/>
        <v>5619500</v>
      </c>
      <c r="L14" s="835">
        <f>'[1]Дотация  из  ОБ_факт'!K10</f>
        <v>7269000</v>
      </c>
      <c r="M14" s="1446">
        <v>5302970</v>
      </c>
      <c r="N14" s="581">
        <f>'[1]Дотация  из  ОБ_факт'!Q10</f>
        <v>32863119.999999996</v>
      </c>
      <c r="O14" s="963">
        <v>14110775.560000001</v>
      </c>
      <c r="P14" s="581">
        <f>'[1]Дотация  из  ОБ_факт'!S10</f>
        <v>63246894.999999993</v>
      </c>
      <c r="Q14" s="1532">
        <v>48028990</v>
      </c>
      <c r="R14" s="588">
        <f t="shared" si="4"/>
        <v>43313254.999999993</v>
      </c>
      <c r="S14" s="583">
        <f t="shared" si="5"/>
        <v>35021400</v>
      </c>
      <c r="T14" s="835">
        <f>'[1]Дотация  из  ОБ_факт'!W10</f>
        <v>19933640</v>
      </c>
      <c r="U14" s="1581">
        <v>13007590</v>
      </c>
      <c r="V14" s="581">
        <f>'[1]Дотация  из  ОБ_факт'!AA10+'[1]Дотация  из  ОБ_факт'!AC10+'[1]Дотация  из  ОБ_факт'!AG10</f>
        <v>1750000</v>
      </c>
      <c r="W14" s="461">
        <f t="shared" si="6"/>
        <v>1750000</v>
      </c>
      <c r="X14" s="585">
        <v>750000</v>
      </c>
      <c r="Y14" s="584">
        <v>1000000</v>
      </c>
      <c r="Z14" s="585"/>
      <c r="AA14" s="581">
        <f>'[1]Дотация  из  ОБ_факт'!Y10+'[1]Дотация  из  ОБ_факт'!AE10</f>
        <v>280500</v>
      </c>
      <c r="AB14" s="172">
        <f t="shared" si="7"/>
        <v>280500</v>
      </c>
      <c r="AC14" s="584">
        <v>280500</v>
      </c>
      <c r="AD14" s="585"/>
      <c r="AE14" s="582">
        <f t="shared" si="8"/>
        <v>280500</v>
      </c>
      <c r="AF14" s="588">
        <f t="shared" si="9"/>
        <v>280500</v>
      </c>
      <c r="AG14" s="1187">
        <f>'[1]Дотация  из  ОБ_факт'!AE10</f>
        <v>0</v>
      </c>
      <c r="AH14" s="1480">
        <f t="shared" si="107"/>
        <v>0</v>
      </c>
      <c r="AI14" s="579">
        <f>'Проверочная  таблица'!KW14+'Проверочная  таблица'!QS14+'Проверочная  таблица'!QU14+CS14+CU14+DA14+DC14+BU14+CE14+'Проверочная  таблица'!IQ14+'Проверочная  таблица'!JK14+'Проверочная  таблица'!EE14+'Проверочная  таблица'!KO14+DQ14+'Проверочная  таблица'!HQ14+'Проверочная  таблица'!HW14+'Проверочная  таблица'!LA14+'Проверочная  таблица'!LI14+HK14+FQ14+FE14+NK14+EY14+AK14+AW14+FK14+GM14+GS14+DI14+NQ14+FW14+EK14+OE14+MG14+GG14+PU14+QA14</f>
        <v>341974124.08999997</v>
      </c>
      <c r="AJ14" s="498">
        <f>'Проверочная  таблица'!KY14+'Проверочная  таблица'!QT14+'Проверочная  таблица'!QV14+CT14+CV14+DB14+DD14+BZ14+CJ14+'Проверочная  таблица'!JA14+'Проверочная  таблица'!JP14+'Проверочная  таблица'!EH14+'Проверочная  таблица'!KS14+DX14+'Проверочная  таблица'!HT14+'Проверочная  таблица'!HZ14+'Проверочная  таблица'!LE14+'Проверочная  таблица'!LM14+HN14+FN14+FT14+FH14+NN14+FB14+AQ14+BA14+GP14+GV14+DM14+NX14+FZ14+ER14+OL14+ML14+GJ14+PX14+QD14</f>
        <v>221586112.62</v>
      </c>
      <c r="AK14" s="466">
        <f t="shared" si="108"/>
        <v>0</v>
      </c>
      <c r="AL14" s="525">
        <f>[1]Субсидия_факт!CD12</f>
        <v>0</v>
      </c>
      <c r="AM14" s="508">
        <f>[1]Субсидия_факт!EX12</f>
        <v>0</v>
      </c>
      <c r="AN14" s="506">
        <f>[1]Субсидия_факт!FJ12</f>
        <v>0</v>
      </c>
      <c r="AO14" s="525">
        <f>[1]Субсидия_факт!LT12</f>
        <v>0</v>
      </c>
      <c r="AP14" s="622">
        <f>[1]Субсидия_факт!LZ12</f>
        <v>0</v>
      </c>
      <c r="AQ14" s="748">
        <f t="shared" si="109"/>
        <v>0</v>
      </c>
      <c r="AR14" s="474"/>
      <c r="AS14" s="474"/>
      <c r="AT14" s="474"/>
      <c r="AU14" s="474"/>
      <c r="AV14" s="531"/>
      <c r="AW14" s="498">
        <f t="shared" si="10"/>
        <v>0</v>
      </c>
      <c r="AX14" s="525">
        <f>[1]Субсидия_факт!CF12</f>
        <v>0</v>
      </c>
      <c r="AY14" s="508">
        <f>[1]Субсидия_факт!FB12</f>
        <v>0</v>
      </c>
      <c r="AZ14" s="646">
        <f>[1]Субсидия_факт!LV12</f>
        <v>0</v>
      </c>
      <c r="BA14" s="466">
        <f t="shared" si="11"/>
        <v>0</v>
      </c>
      <c r="BB14" s="531"/>
      <c r="BC14" s="531"/>
      <c r="BD14" s="532"/>
      <c r="BE14" s="669">
        <f t="shared" si="12"/>
        <v>0</v>
      </c>
      <c r="BF14" s="652">
        <f t="shared" si="13"/>
        <v>0</v>
      </c>
      <c r="BG14" s="464">
        <f t="shared" si="14"/>
        <v>0</v>
      </c>
      <c r="BH14" s="341">
        <f t="shared" si="15"/>
        <v>0</v>
      </c>
      <c r="BI14" s="669">
        <f>SUM(BJ14:BL14)</f>
        <v>0</v>
      </c>
      <c r="BJ14" s="622">
        <f t="shared" si="17"/>
        <v>0</v>
      </c>
      <c r="BK14" s="506">
        <f t="shared" si="18"/>
        <v>0</v>
      </c>
      <c r="BL14" s="341">
        <f t="shared" si="19"/>
        <v>0</v>
      </c>
      <c r="BM14" s="667">
        <f t="shared" si="20"/>
        <v>0</v>
      </c>
      <c r="BN14" s="525">
        <f>[1]Субсидия_факт!CH12</f>
        <v>0</v>
      </c>
      <c r="BO14" s="508">
        <f>[1]Субсидия_факт!FD12</f>
        <v>0</v>
      </c>
      <c r="BP14" s="646">
        <f>[1]Субсидия_факт!LX12</f>
        <v>0</v>
      </c>
      <c r="BQ14" s="669">
        <f t="shared" si="21"/>
        <v>0</v>
      </c>
      <c r="BR14" s="532"/>
      <c r="BS14" s="531"/>
      <c r="BT14" s="532"/>
      <c r="BU14" s="521">
        <f t="shared" si="110"/>
        <v>18476230.16</v>
      </c>
      <c r="BV14" s="562">
        <f>[1]Субсидия_факт!HB12</f>
        <v>0</v>
      </c>
      <c r="BW14" s="516">
        <f>[1]Субсидия_факт!HH12</f>
        <v>18476230.16</v>
      </c>
      <c r="BX14" s="531">
        <f>[1]Субсидия_факт!HP12</f>
        <v>0</v>
      </c>
      <c r="BY14" s="562">
        <f>[1]Субсидия_факт!HV12</f>
        <v>0</v>
      </c>
      <c r="BZ14" s="521">
        <f t="shared" si="111"/>
        <v>17560613.48</v>
      </c>
      <c r="CA14" s="531"/>
      <c r="CB14" s="531">
        <v>17560613.48</v>
      </c>
      <c r="CC14" s="625"/>
      <c r="CD14" s="625"/>
      <c r="CE14" s="526">
        <f t="shared" si="112"/>
        <v>14467936.440000001</v>
      </c>
      <c r="CF14" s="525">
        <f>[1]Субсидия_факт!HD12</f>
        <v>0</v>
      </c>
      <c r="CG14" s="525">
        <f>[1]Субсидия_факт!HJ12</f>
        <v>14467936.440000001</v>
      </c>
      <c r="CH14" s="531">
        <f>[1]Субсидия_факт!HR12</f>
        <v>0</v>
      </c>
      <c r="CI14" s="646">
        <f>[1]Субсидия_факт!HX12</f>
        <v>0</v>
      </c>
      <c r="CJ14" s="521">
        <f t="shared" si="113"/>
        <v>14442298.6</v>
      </c>
      <c r="CK14" s="531"/>
      <c r="CL14" s="532">
        <v>14442298.6</v>
      </c>
      <c r="CM14" s="625"/>
      <c r="CN14" s="724"/>
      <c r="CO14" s="530">
        <f t="shared" si="22"/>
        <v>0</v>
      </c>
      <c r="CP14" s="528">
        <f t="shared" si="23"/>
        <v>0</v>
      </c>
      <c r="CQ14" s="527">
        <f t="shared" si="114"/>
        <v>14467936.440000001</v>
      </c>
      <c r="CR14" s="530">
        <f t="shared" si="115"/>
        <v>14442298.6</v>
      </c>
      <c r="CS14" s="521">
        <f>[1]Субсидия_факт!FL12</f>
        <v>0</v>
      </c>
      <c r="CT14" s="620"/>
      <c r="CU14" s="521">
        <f>[1]Субсидия_факт!FN12</f>
        <v>26967418.18</v>
      </c>
      <c r="CV14" s="620">
        <v>20096208.039999999</v>
      </c>
      <c r="CW14" s="528">
        <f t="shared" si="24"/>
        <v>4288396.5500000007</v>
      </c>
      <c r="CX14" s="527">
        <f t="shared" si="25"/>
        <v>3430717.25</v>
      </c>
      <c r="CY14" s="587">
        <f>[1]Субсидия_факт!FP12</f>
        <v>22679021.629999999</v>
      </c>
      <c r="CZ14" s="340">
        <v>16665490.789999999</v>
      </c>
      <c r="DA14" s="526">
        <f>[1]Субсидия_факт!FR12</f>
        <v>0</v>
      </c>
      <c r="DB14" s="339"/>
      <c r="DC14" s="524">
        <f>[1]Субсидия_факт!FT12</f>
        <v>5610548.4700000007</v>
      </c>
      <c r="DD14" s="339">
        <v>4331475.32</v>
      </c>
      <c r="DE14" s="1238">
        <f t="shared" si="26"/>
        <v>1599701.3900000006</v>
      </c>
      <c r="DF14" s="528">
        <f t="shared" si="27"/>
        <v>1279761.1100000003</v>
      </c>
      <c r="DG14" s="663">
        <f>[1]Субсидия_факт!FV12</f>
        <v>4010847.08</v>
      </c>
      <c r="DH14" s="1237">
        <v>3051714.21</v>
      </c>
      <c r="DI14" s="498">
        <f t="shared" si="117"/>
        <v>40542100.120000005</v>
      </c>
      <c r="DJ14" s="625">
        <f>[1]Субсидия_факт!EV12</f>
        <v>0</v>
      </c>
      <c r="DK14" s="516">
        <f>[1]Субсидия_факт!EL12</f>
        <v>8404800.120000001</v>
      </c>
      <c r="DL14" s="838">
        <f>[1]Субсидия_факт!EN12</f>
        <v>32137300</v>
      </c>
      <c r="DM14" s="466">
        <f t="shared" si="118"/>
        <v>40542100.109999999</v>
      </c>
      <c r="DN14" s="625"/>
      <c r="DO14" s="625">
        <v>8404800.1099999994</v>
      </c>
      <c r="DP14" s="987">
        <v>32137300</v>
      </c>
      <c r="DQ14" s="526">
        <f t="shared" si="28"/>
        <v>0</v>
      </c>
      <c r="DR14" s="508">
        <f>[1]Субсидия_факт!N12</f>
        <v>0</v>
      </c>
      <c r="DS14" s="652">
        <f>[1]Субсидия_факт!P12</f>
        <v>0</v>
      </c>
      <c r="DT14" s="682">
        <f>[1]Субсидия_факт!R12</f>
        <v>0</v>
      </c>
      <c r="DU14" s="506">
        <f>[1]Субсидия_факт!T12</f>
        <v>0</v>
      </c>
      <c r="DV14" s="689">
        <f>[1]Субсидия_факт!V12</f>
        <v>0</v>
      </c>
      <c r="DW14" s="506">
        <f>[1]Субсидия_факт!X12</f>
        <v>0</v>
      </c>
      <c r="DX14" s="521">
        <f t="shared" si="29"/>
        <v>0</v>
      </c>
      <c r="DY14" s="532"/>
      <c r="DZ14" s="531"/>
      <c r="EA14" s="686"/>
      <c r="EB14" s="531"/>
      <c r="EC14" s="686"/>
      <c r="ED14" s="531"/>
      <c r="EE14" s="498">
        <f t="shared" si="30"/>
        <v>0</v>
      </c>
      <c r="EF14" s="516">
        <f>[1]Субсидия_факт!BL12</f>
        <v>0</v>
      </c>
      <c r="EG14" s="838">
        <f>[1]Субсидия_факт!BN12</f>
        <v>0</v>
      </c>
      <c r="EH14" s="466">
        <f t="shared" si="31"/>
        <v>0</v>
      </c>
      <c r="EI14" s="772"/>
      <c r="EJ14" s="987"/>
      <c r="EK14" s="526">
        <f t="shared" si="32"/>
        <v>0</v>
      </c>
      <c r="EL14" s="525">
        <f>[1]Субсидия_факт!AF12</f>
        <v>0</v>
      </c>
      <c r="EM14" s="689">
        <f>[1]Субсидия_факт!AH12</f>
        <v>0</v>
      </c>
      <c r="EN14" s="506">
        <f>[1]Субсидия_факт!AJ12</f>
        <v>0</v>
      </c>
      <c r="EO14" s="866">
        <f>[1]Субсидия_факт!AL12</f>
        <v>0</v>
      </c>
      <c r="EP14" s="622">
        <f>[1]Субсидия_факт!AN12</f>
        <v>0</v>
      </c>
      <c r="EQ14" s="712">
        <f>[1]Субсидия_факт!AP12</f>
        <v>0</v>
      </c>
      <c r="ER14" s="521">
        <f t="shared" si="33"/>
        <v>0</v>
      </c>
      <c r="ES14" s="474"/>
      <c r="ET14" s="686"/>
      <c r="EU14" s="474"/>
      <c r="EV14" s="686"/>
      <c r="EW14" s="474"/>
      <c r="EX14" s="686"/>
      <c r="EY14" s="498">
        <f t="shared" si="34"/>
        <v>0</v>
      </c>
      <c r="EZ14" s="516">
        <f>[1]Субсидия_факт!AV12</f>
        <v>0</v>
      </c>
      <c r="FA14" s="752">
        <f>[1]Субсидия_факт!AX12</f>
        <v>0</v>
      </c>
      <c r="FB14" s="466">
        <f t="shared" si="35"/>
        <v>0</v>
      </c>
      <c r="FC14" s="772"/>
      <c r="FD14" s="678"/>
      <c r="FE14" s="498">
        <f t="shared" si="36"/>
        <v>0</v>
      </c>
      <c r="FF14" s="516">
        <f>[1]Субсидия_факт!BT12</f>
        <v>0</v>
      </c>
      <c r="FG14" s="838">
        <f>[1]Субсидия_факт!BV12</f>
        <v>0</v>
      </c>
      <c r="FH14" s="466">
        <f t="shared" si="37"/>
        <v>0</v>
      </c>
      <c r="FI14" s="772"/>
      <c r="FJ14" s="678"/>
      <c r="FK14" s="498">
        <f t="shared" si="38"/>
        <v>0</v>
      </c>
      <c r="FL14" s="516">
        <f>[1]Субсидия_факт!BP12</f>
        <v>0</v>
      </c>
      <c r="FM14" s="838">
        <f>[1]Субсидия_факт!BR12</f>
        <v>0</v>
      </c>
      <c r="FN14" s="466">
        <f t="shared" si="39"/>
        <v>0</v>
      </c>
      <c r="FO14" s="772"/>
      <c r="FP14" s="678"/>
      <c r="FQ14" s="498">
        <f t="shared" si="40"/>
        <v>0</v>
      </c>
      <c r="FR14" s="516">
        <f>[1]Субсидия_факт!IV12</f>
        <v>0</v>
      </c>
      <c r="FS14" s="838">
        <f>[1]Субсидия_факт!IX12</f>
        <v>0</v>
      </c>
      <c r="FT14" s="466">
        <f t="shared" si="41"/>
        <v>0</v>
      </c>
      <c r="FU14" s="772"/>
      <c r="FV14" s="678"/>
      <c r="FW14" s="498">
        <f t="shared" si="42"/>
        <v>10944030</v>
      </c>
      <c r="FX14" s="516">
        <f>[1]Субсидия_факт!IZ12</f>
        <v>3064330</v>
      </c>
      <c r="FY14" s="838">
        <f>[1]Субсидия_факт!JD12</f>
        <v>7879700</v>
      </c>
      <c r="FZ14" s="466">
        <f t="shared" si="43"/>
        <v>0</v>
      </c>
      <c r="GA14" s="772"/>
      <c r="GB14" s="678"/>
      <c r="GC14" s="667">
        <f t="shared" si="119"/>
        <v>0</v>
      </c>
      <c r="GD14" s="669">
        <f t="shared" si="120"/>
        <v>0</v>
      </c>
      <c r="GE14" s="667">
        <f t="shared" si="121"/>
        <v>10944030</v>
      </c>
      <c r="GF14" s="669">
        <f t="shared" si="122"/>
        <v>0</v>
      </c>
      <c r="GG14" s="498">
        <f t="shared" si="123"/>
        <v>0</v>
      </c>
      <c r="GH14" s="1251">
        <f>[1]Субсидия_факт!BH12</f>
        <v>0</v>
      </c>
      <c r="GI14" s="676">
        <f>[1]Субсидия_факт!BJ12</f>
        <v>0</v>
      </c>
      <c r="GJ14" s="498">
        <f t="shared" si="124"/>
        <v>0</v>
      </c>
      <c r="GK14" s="724"/>
      <c r="GL14" s="678"/>
      <c r="GM14" s="498">
        <f t="shared" si="44"/>
        <v>0</v>
      </c>
      <c r="GN14" s="516"/>
      <c r="GO14" s="838"/>
      <c r="GP14" s="466">
        <f t="shared" si="45"/>
        <v>0</v>
      </c>
      <c r="GQ14" s="724"/>
      <c r="GR14" s="678"/>
      <c r="GS14" s="498">
        <f t="shared" si="46"/>
        <v>0</v>
      </c>
      <c r="GT14" s="516">
        <f>[1]Субсидия_факт!FZ12</f>
        <v>0</v>
      </c>
      <c r="GU14" s="838">
        <f>[1]Субсидия_факт!GD12</f>
        <v>0</v>
      </c>
      <c r="GV14" s="466">
        <f t="shared" si="47"/>
        <v>0</v>
      </c>
      <c r="GW14" s="724"/>
      <c r="GX14" s="678"/>
      <c r="GY14" s="667">
        <f t="shared" si="48"/>
        <v>0</v>
      </c>
      <c r="GZ14" s="516">
        <f t="shared" si="125"/>
        <v>0</v>
      </c>
      <c r="HA14" s="838">
        <f t="shared" si="125"/>
        <v>0</v>
      </c>
      <c r="HB14" s="669">
        <f t="shared" si="49"/>
        <v>0</v>
      </c>
      <c r="HC14" s="516">
        <f t="shared" si="125"/>
        <v>0</v>
      </c>
      <c r="HD14" s="838">
        <f t="shared" si="125"/>
        <v>0</v>
      </c>
      <c r="HE14" s="667">
        <f t="shared" si="50"/>
        <v>0</v>
      </c>
      <c r="HF14" s="516">
        <f>[1]Субсидия_факт!GB12</f>
        <v>0</v>
      </c>
      <c r="HG14" s="838">
        <f>[1]Субсидия_факт!GF12</f>
        <v>0</v>
      </c>
      <c r="HH14" s="669">
        <f t="shared" si="51"/>
        <v>0</v>
      </c>
      <c r="HI14" s="724"/>
      <c r="HJ14" s="678"/>
      <c r="HK14" s="526">
        <f t="shared" si="126"/>
        <v>0</v>
      </c>
      <c r="HL14" s="518">
        <f>[1]Субсидия_факт!DD12</f>
        <v>0</v>
      </c>
      <c r="HM14" s="752">
        <f>[1]Субсидия_факт!DF12</f>
        <v>0</v>
      </c>
      <c r="HN14" s="521">
        <f t="shared" si="127"/>
        <v>0</v>
      </c>
      <c r="HO14" s="531"/>
      <c r="HP14" s="706"/>
      <c r="HQ14" s="579">
        <f t="shared" si="54"/>
        <v>144876.79999999999</v>
      </c>
      <c r="HR14" s="516">
        <f>[1]Субсидия_факт!CR12</f>
        <v>40565.509999999995</v>
      </c>
      <c r="HS14" s="838">
        <f>[1]Субсидия_факт!CX12</f>
        <v>104311.29</v>
      </c>
      <c r="HT14" s="466">
        <f t="shared" si="55"/>
        <v>144876.79999999999</v>
      </c>
      <c r="HU14" s="1251">
        <f>HR14</f>
        <v>40565.509999999995</v>
      </c>
      <c r="HV14" s="1519">
        <f t="shared" ref="HU14:HV19" si="202">HS14</f>
        <v>104311.29</v>
      </c>
      <c r="HW14" s="466">
        <f t="shared" si="56"/>
        <v>314968.14</v>
      </c>
      <c r="HX14" s="516">
        <f>[1]Субсидия_факт!CT12</f>
        <v>88191.089999999982</v>
      </c>
      <c r="HY14" s="752">
        <f>[1]Субсидия_факт!CZ12</f>
        <v>226777.05000000005</v>
      </c>
      <c r="HZ14" s="466">
        <f t="shared" si="57"/>
        <v>299913.55</v>
      </c>
      <c r="IA14" s="757">
        <f t="shared" si="128"/>
        <v>83975.8</v>
      </c>
      <c r="IB14" s="789">
        <f t="shared" si="129"/>
        <v>215937.75</v>
      </c>
      <c r="IC14" s="625">
        <v>124541.31</v>
      </c>
      <c r="ID14" s="709">
        <v>320249.03999999998</v>
      </c>
      <c r="IE14" s="669">
        <f t="shared" si="58"/>
        <v>75269.690000000017</v>
      </c>
      <c r="IF14" s="750">
        <f>'Проверочная  таблица'!HX14-'Проверочная  таблица'!IL14</f>
        <v>21075.519999999975</v>
      </c>
      <c r="IG14" s="676">
        <f>'Проверочная  таблица'!HY14-'Проверочная  таблица'!IM14</f>
        <v>54194.170000000042</v>
      </c>
      <c r="IH14" s="663">
        <f t="shared" si="59"/>
        <v>60215.92</v>
      </c>
      <c r="II14" s="757">
        <f>'Проверочная  таблица'!IA14-'Проверочная  таблица'!IO14</f>
        <v>16860.460000000006</v>
      </c>
      <c r="IJ14" s="768">
        <f>'Проверочная  таблица'!IB14-'Проверочная  таблица'!IP14</f>
        <v>43355.459999999992</v>
      </c>
      <c r="IK14" s="669">
        <f t="shared" si="60"/>
        <v>239698.45</v>
      </c>
      <c r="IL14" s="516">
        <f>[1]Субсидия_факт!CV12</f>
        <v>67115.570000000007</v>
      </c>
      <c r="IM14" s="838">
        <f>[1]Субсидия_факт!DB12</f>
        <v>172582.88</v>
      </c>
      <c r="IN14" s="669">
        <f t="shared" si="61"/>
        <v>239697.63</v>
      </c>
      <c r="IO14" s="724">
        <v>67115.34</v>
      </c>
      <c r="IP14" s="678">
        <v>172582.29</v>
      </c>
      <c r="IQ14" s="466">
        <f t="shared" si="130"/>
        <v>0</v>
      </c>
      <c r="IR14" s="757">
        <f>[1]Субсидия_факт!CJ12</f>
        <v>0</v>
      </c>
      <c r="IS14" s="676">
        <f>[1]Субсидия_факт!CN12</f>
        <v>0</v>
      </c>
      <c r="IT14" s="757">
        <f>[1]Субсидия_факт!DH12</f>
        <v>0</v>
      </c>
      <c r="IU14" s="676">
        <f>[1]Субсидия_факт!DN12</f>
        <v>0</v>
      </c>
      <c r="IV14" s="525">
        <f>[1]Субсидия_факт!DX12</f>
        <v>0</v>
      </c>
      <c r="IW14" s="689">
        <f>[1]Субсидия_факт!DZ12</f>
        <v>0</v>
      </c>
      <c r="IX14" s="1295">
        <f>[1]Субсидия_факт!DT12</f>
        <v>0</v>
      </c>
      <c r="IY14" s="676">
        <f>[1]Субсидия_факт!DV12</f>
        <v>0</v>
      </c>
      <c r="IZ14" s="516">
        <f>[1]Субсидия_факт!EB12</f>
        <v>0</v>
      </c>
      <c r="JA14" s="466">
        <f t="shared" si="131"/>
        <v>0</v>
      </c>
      <c r="JB14" s="625"/>
      <c r="JC14" s="678"/>
      <c r="JD14" s="625"/>
      <c r="JE14" s="678"/>
      <c r="JF14" s="531"/>
      <c r="JG14" s="706"/>
      <c r="JH14" s="625"/>
      <c r="JI14" s="678"/>
      <c r="JJ14" s="757">
        <f t="shared" si="132"/>
        <v>0</v>
      </c>
      <c r="JK14" s="748">
        <f t="shared" si="133"/>
        <v>0</v>
      </c>
      <c r="JL14" s="757">
        <f>[1]Субсидия_факт!CL12</f>
        <v>0</v>
      </c>
      <c r="JM14" s="676">
        <f>[1]Субсидия_факт!CP12</f>
        <v>0</v>
      </c>
      <c r="JN14" s="757">
        <f>[1]Субсидия_факт!DJ12</f>
        <v>0</v>
      </c>
      <c r="JO14" s="676">
        <f>[1]Субсидия_факт!DP12</f>
        <v>0</v>
      </c>
      <c r="JP14" s="748">
        <f t="shared" si="134"/>
        <v>0</v>
      </c>
      <c r="JQ14" s="625"/>
      <c r="JR14" s="678"/>
      <c r="JS14" s="625"/>
      <c r="JT14" s="678"/>
      <c r="JU14" s="587">
        <f t="shared" si="135"/>
        <v>0</v>
      </c>
      <c r="JV14" s="757">
        <f>'Проверочная  таблица'!JL14-KF14</f>
        <v>0</v>
      </c>
      <c r="JW14" s="676">
        <f>'Проверочная  таблица'!JM14-KG14</f>
        <v>0</v>
      </c>
      <c r="JX14" s="757">
        <f>'Проверочная  таблица'!JN14-KH14</f>
        <v>0</v>
      </c>
      <c r="JY14" s="676">
        <f>'Проверочная  таблица'!JO14-KI14</f>
        <v>0</v>
      </c>
      <c r="JZ14" s="587">
        <f t="shared" si="136"/>
        <v>0</v>
      </c>
      <c r="KA14" s="757">
        <f>'Проверочная  таблица'!JQ14-KK14</f>
        <v>0</v>
      </c>
      <c r="KB14" s="676">
        <f>'Проверочная  таблица'!JR14-KL14</f>
        <v>0</v>
      </c>
      <c r="KC14" s="757">
        <f>'Проверочная  таблица'!JS14-KM14</f>
        <v>0</v>
      </c>
      <c r="KD14" s="789">
        <f>'Проверочная  таблица'!JT14-KN14</f>
        <v>0</v>
      </c>
      <c r="KE14" s="587">
        <f t="shared" si="137"/>
        <v>0</v>
      </c>
      <c r="KF14" s="625"/>
      <c r="KG14" s="678"/>
      <c r="KH14" s="757">
        <f>[1]Субсидия_факт!DL12</f>
        <v>0</v>
      </c>
      <c r="KI14" s="1519">
        <f>[1]Субсидия_факт!DR12</f>
        <v>0</v>
      </c>
      <c r="KJ14" s="587">
        <f t="shared" si="138"/>
        <v>0</v>
      </c>
      <c r="KK14" s="753"/>
      <c r="KL14" s="678"/>
      <c r="KM14" s="625"/>
      <c r="KN14" s="678"/>
      <c r="KO14" s="579">
        <f t="shared" si="139"/>
        <v>0</v>
      </c>
      <c r="KP14" s="516">
        <f>[1]Субсидия_факт!BX12</f>
        <v>0</v>
      </c>
      <c r="KQ14" s="838">
        <f>[1]Субсидия_факт!BZ12</f>
        <v>0</v>
      </c>
      <c r="KR14" s="516">
        <f>[1]Субсидия_факт!CB12</f>
        <v>0</v>
      </c>
      <c r="KS14" s="466">
        <f t="shared" si="140"/>
        <v>0</v>
      </c>
      <c r="KT14" s="625"/>
      <c r="KU14" s="678"/>
      <c r="KV14" s="625"/>
      <c r="KW14" s="498">
        <f t="shared" si="62"/>
        <v>0</v>
      </c>
      <c r="KX14" s="508">
        <f>[1]Субсидия_факт!GN12</f>
        <v>0</v>
      </c>
      <c r="KY14" s="466">
        <f t="shared" si="63"/>
        <v>0</v>
      </c>
      <c r="KZ14" s="625"/>
      <c r="LA14" s="754">
        <f>SUM(LB14:LC14)</f>
        <v>0</v>
      </c>
      <c r="LB14" s="516">
        <f>[1]Субсидия_факт!JT12</f>
        <v>0</v>
      </c>
      <c r="LC14" s="838">
        <f>[1]Субсидия_факт!JZ12</f>
        <v>0</v>
      </c>
      <c r="LD14" s="508"/>
      <c r="LE14" s="754">
        <f>SUM(LF14:LG14)</f>
        <v>0</v>
      </c>
      <c r="LF14" s="772"/>
      <c r="LG14" s="678"/>
      <c r="LH14" s="625"/>
      <c r="LI14" s="754">
        <f t="shared" si="141"/>
        <v>17400000</v>
      </c>
      <c r="LJ14" s="516">
        <f>[1]Субсидия_факт!JV12</f>
        <v>870000</v>
      </c>
      <c r="LK14" s="838">
        <f>[1]Субсидия_факт!KB12</f>
        <v>16530000</v>
      </c>
      <c r="LL14" s="518">
        <f>[1]Субсидия_факт!KF12</f>
        <v>0</v>
      </c>
      <c r="LM14" s="754">
        <f t="shared" si="142"/>
        <v>17400000</v>
      </c>
      <c r="LN14" s="625">
        <v>870000</v>
      </c>
      <c r="LO14" s="771">
        <v>16530000</v>
      </c>
      <c r="LP14" s="625"/>
      <c r="LQ14" s="1226">
        <f t="shared" si="143"/>
        <v>0</v>
      </c>
      <c r="LR14" s="652">
        <f>'Проверочная  таблица'!LJ14-LZ14</f>
        <v>0</v>
      </c>
      <c r="LS14" s="682">
        <f>'Проверочная  таблица'!LK14-MA14</f>
        <v>0</v>
      </c>
      <c r="LT14" s="622">
        <f>'Проверочная  таблица'!LL14-MB14</f>
        <v>0</v>
      </c>
      <c r="LU14" s="1226">
        <f t="shared" si="144"/>
        <v>0</v>
      </c>
      <c r="LV14" s="750">
        <f>'Проверочная  таблица'!LN14-MD14</f>
        <v>0</v>
      </c>
      <c r="LW14" s="676">
        <f>'Проверочная  таблица'!LO14-ME14</f>
        <v>0</v>
      </c>
      <c r="LX14" s="757">
        <f>'Проверочная  таблица'!LP14-MF14</f>
        <v>0</v>
      </c>
      <c r="LY14" s="756">
        <f t="shared" si="145"/>
        <v>17400000</v>
      </c>
      <c r="LZ14" s="516">
        <f>[1]Субсидия_факт!JX12</f>
        <v>870000</v>
      </c>
      <c r="MA14" s="838">
        <f>[1]Субсидия_факт!KD12</f>
        <v>16530000</v>
      </c>
      <c r="MB14" s="516">
        <f>[1]Субсидия_факт!KH12</f>
        <v>0</v>
      </c>
      <c r="MC14" s="1226">
        <f t="shared" si="146"/>
        <v>17400000</v>
      </c>
      <c r="MD14" s="750">
        <f t="shared" ref="MD14:MD29" si="203">LN14</f>
        <v>870000</v>
      </c>
      <c r="ME14" s="676">
        <f t="shared" ref="ME14:ME29" si="204">LO14</f>
        <v>16530000</v>
      </c>
      <c r="MF14" s="516"/>
      <c r="MG14" s="521">
        <f t="shared" si="147"/>
        <v>1277924.1299999999</v>
      </c>
      <c r="MH14" s="652">
        <f>[1]Субсидия_факт!KR12</f>
        <v>63896.210000000006</v>
      </c>
      <c r="MI14" s="682">
        <f>[1]Субсидия_факт!KV12</f>
        <v>1214027.92</v>
      </c>
      <c r="MJ14" s="750">
        <f>[1]Субсидия_факт!KZ12</f>
        <v>0</v>
      </c>
      <c r="MK14" s="1519">
        <f>[1]Субсидия_факт!LD12</f>
        <v>0</v>
      </c>
      <c r="ML14" s="521">
        <f t="shared" si="148"/>
        <v>1277924.1299999999</v>
      </c>
      <c r="MM14" s="727">
        <v>63896.21</v>
      </c>
      <c r="MN14" s="706">
        <v>1214027.92</v>
      </c>
      <c r="MO14" s="531"/>
      <c r="MP14" s="770"/>
      <c r="MQ14" s="587">
        <f t="shared" si="149"/>
        <v>1277924.1299999999</v>
      </c>
      <c r="MR14" s="1304">
        <f t="shared" si="64"/>
        <v>63896.210000000006</v>
      </c>
      <c r="MS14" s="682">
        <f t="shared" si="65"/>
        <v>1214027.92</v>
      </c>
      <c r="MT14" s="622">
        <f t="shared" si="66"/>
        <v>0</v>
      </c>
      <c r="MU14" s="682">
        <f t="shared" si="67"/>
        <v>0</v>
      </c>
      <c r="MV14" s="587">
        <f t="shared" si="150"/>
        <v>1277924.1299999999</v>
      </c>
      <c r="MW14" s="622">
        <f t="shared" si="68"/>
        <v>63896.21</v>
      </c>
      <c r="MX14" s="682">
        <f t="shared" si="69"/>
        <v>1214027.92</v>
      </c>
      <c r="MY14" s="622">
        <f t="shared" si="70"/>
        <v>0</v>
      </c>
      <c r="MZ14" s="682">
        <f t="shared" si="71"/>
        <v>0</v>
      </c>
      <c r="NA14" s="587">
        <f t="shared" si="151"/>
        <v>0</v>
      </c>
      <c r="NB14" s="1079">
        <f>[1]Субсидия_факт!KT12</f>
        <v>0</v>
      </c>
      <c r="NC14" s="682">
        <f>[1]Субсидия_факт!KX12</f>
        <v>0</v>
      </c>
      <c r="ND14" s="625">
        <f>[1]Субсидия_факт!LB12</f>
        <v>0</v>
      </c>
      <c r="NE14" s="709">
        <f>[1]Субсидия_факт!LF12</f>
        <v>0</v>
      </c>
      <c r="NF14" s="587">
        <f t="shared" si="152"/>
        <v>0</v>
      </c>
      <c r="NG14" s="622"/>
      <c r="NH14" s="712"/>
      <c r="NI14" s="531"/>
      <c r="NJ14" s="706"/>
      <c r="NK14" s="498">
        <f t="shared" si="72"/>
        <v>0</v>
      </c>
      <c r="NL14" s="516">
        <f>[1]Субсидия_факт!AB12</f>
        <v>0</v>
      </c>
      <c r="NM14" s="838">
        <f>[1]Субсидия_факт!AD12</f>
        <v>0</v>
      </c>
      <c r="NN14" s="466">
        <f t="shared" si="73"/>
        <v>0</v>
      </c>
      <c r="NO14" s="772"/>
      <c r="NP14" s="987"/>
      <c r="NQ14" s="521">
        <f t="shared" si="153"/>
        <v>0</v>
      </c>
      <c r="NR14" s="506">
        <f>[1]Субсидия_факт!LH12</f>
        <v>0</v>
      </c>
      <c r="NS14" s="866">
        <f>[1]Субсидия_факт!LJ12</f>
        <v>0</v>
      </c>
      <c r="NT14" s="525">
        <f>[1]Субсидия_факт!MN12</f>
        <v>0</v>
      </c>
      <c r="NU14" s="689">
        <f>[1]Субсидия_факт!MP12</f>
        <v>0</v>
      </c>
      <c r="NV14" s="1147">
        <f>[1]Субсидия_факт!MB12</f>
        <v>0</v>
      </c>
      <c r="NW14" s="682">
        <f>[1]Субсидия_факт!MH12</f>
        <v>0</v>
      </c>
      <c r="NX14" s="521">
        <f t="shared" si="154"/>
        <v>0</v>
      </c>
      <c r="NY14" s="773"/>
      <c r="NZ14" s="686"/>
      <c r="OA14" s="773"/>
      <c r="OB14" s="686"/>
      <c r="OC14" s="342"/>
      <c r="OD14" s="1279"/>
      <c r="OE14" s="521">
        <f t="shared" si="155"/>
        <v>0</v>
      </c>
      <c r="OF14" s="652">
        <f>[1]Субсидия_факт!KJ12</f>
        <v>0</v>
      </c>
      <c r="OG14" s="682">
        <f>[1]Субсидия_факт!KN12</f>
        <v>0</v>
      </c>
      <c r="OH14" s="652">
        <f>[1]Субсидия_факт!LL12</f>
        <v>0</v>
      </c>
      <c r="OI14" s="682">
        <f>[1]Субсидия_факт!LP12</f>
        <v>0</v>
      </c>
      <c r="OJ14" s="652">
        <f>[1]Субсидия_факт!MD12</f>
        <v>0</v>
      </c>
      <c r="OK14" s="682">
        <f>[1]Субсидия_факт!MJ12</f>
        <v>0</v>
      </c>
      <c r="OL14" s="521">
        <f t="shared" si="156"/>
        <v>0</v>
      </c>
      <c r="OM14" s="622"/>
      <c r="ON14" s="712"/>
      <c r="OO14" s="773"/>
      <c r="OP14" s="686"/>
      <c r="OQ14" s="487"/>
      <c r="OR14" s="712"/>
      <c r="OS14" s="587">
        <f t="shared" si="157"/>
        <v>0</v>
      </c>
      <c r="OT14" s="1079">
        <f t="shared" si="74"/>
        <v>0</v>
      </c>
      <c r="OU14" s="682">
        <f t="shared" si="75"/>
        <v>0</v>
      </c>
      <c r="OV14" s="1079">
        <f t="shared" si="76"/>
        <v>0</v>
      </c>
      <c r="OW14" s="682">
        <f t="shared" si="77"/>
        <v>0</v>
      </c>
      <c r="OX14" s="652">
        <f t="shared" si="78"/>
        <v>0</v>
      </c>
      <c r="OY14" s="682">
        <f t="shared" si="79"/>
        <v>0</v>
      </c>
      <c r="OZ14" s="587">
        <f t="shared" si="158"/>
        <v>0</v>
      </c>
      <c r="PA14" s="1079">
        <f t="shared" si="80"/>
        <v>0</v>
      </c>
      <c r="PB14" s="682">
        <f t="shared" si="81"/>
        <v>0</v>
      </c>
      <c r="PC14" s="1079">
        <f t="shared" si="82"/>
        <v>0</v>
      </c>
      <c r="PD14" s="682">
        <f t="shared" si="83"/>
        <v>0</v>
      </c>
      <c r="PE14" s="652">
        <f t="shared" si="84"/>
        <v>0</v>
      </c>
      <c r="PF14" s="682">
        <f t="shared" si="85"/>
        <v>0</v>
      </c>
      <c r="PG14" s="587">
        <f t="shared" si="159"/>
        <v>0</v>
      </c>
      <c r="PH14" s="1079">
        <f>[1]Субсидия_факт!KL12</f>
        <v>0</v>
      </c>
      <c r="PI14" s="682">
        <f>[1]Субсидия_факт!KP12</f>
        <v>0</v>
      </c>
      <c r="PJ14" s="652">
        <f>[1]Субсидия_факт!LN12</f>
        <v>0</v>
      </c>
      <c r="PK14" s="682">
        <f>[1]Субсидия_факт!LR12</f>
        <v>0</v>
      </c>
      <c r="PL14" s="652">
        <f>[1]Субсидия_факт!MF12</f>
        <v>0</v>
      </c>
      <c r="PM14" s="682">
        <f>[1]Субсидия_факт!ML12</f>
        <v>0</v>
      </c>
      <c r="PN14" s="587">
        <f t="shared" si="160"/>
        <v>0</v>
      </c>
      <c r="PO14" s="622"/>
      <c r="PP14" s="712"/>
      <c r="PQ14" s="773"/>
      <c r="PR14" s="686"/>
      <c r="PS14" s="622"/>
      <c r="PT14" s="712"/>
      <c r="PU14" s="466">
        <f t="shared" si="161"/>
        <v>0</v>
      </c>
      <c r="PV14" s="516">
        <f>[1]Субсидия_факт!MR12</f>
        <v>0</v>
      </c>
      <c r="PW14" s="838">
        <f>[1]Субсидия_факт!MX12</f>
        <v>0</v>
      </c>
      <c r="PX14" s="466">
        <f t="shared" si="162"/>
        <v>0</v>
      </c>
      <c r="PY14" s="724"/>
      <c r="PZ14" s="678"/>
      <c r="QA14" s="579">
        <f t="shared" si="163"/>
        <v>7750778.9500000002</v>
      </c>
      <c r="QB14" s="516">
        <f>[1]Субсидия_факт!MT12</f>
        <v>387538.95</v>
      </c>
      <c r="QC14" s="838">
        <f>[1]Субсидия_факт!MZ12</f>
        <v>7363240</v>
      </c>
      <c r="QD14" s="466">
        <f t="shared" si="164"/>
        <v>0</v>
      </c>
      <c r="QE14" s="724"/>
      <c r="QF14" s="987"/>
      <c r="QG14" s="669">
        <f t="shared" si="165"/>
        <v>7750778.9500000002</v>
      </c>
      <c r="QH14" s="516">
        <f t="shared" si="166"/>
        <v>387538.95</v>
      </c>
      <c r="QI14" s="838">
        <f t="shared" si="167"/>
        <v>7363240</v>
      </c>
      <c r="QJ14" s="669">
        <f t="shared" si="168"/>
        <v>0</v>
      </c>
      <c r="QK14" s="516">
        <f t="shared" si="169"/>
        <v>0</v>
      </c>
      <c r="QL14" s="838">
        <f t="shared" si="170"/>
        <v>0</v>
      </c>
      <c r="QM14" s="669">
        <f t="shared" si="171"/>
        <v>0</v>
      </c>
      <c r="QN14" s="516">
        <f>[1]Субсидия_факт!MV12</f>
        <v>0</v>
      </c>
      <c r="QO14" s="838">
        <f>[1]Субсидия_факт!NB12</f>
        <v>0</v>
      </c>
      <c r="QP14" s="669">
        <f t="shared" si="172"/>
        <v>0</v>
      </c>
      <c r="QQ14" s="516">
        <f>[1]Субсидия_факт!NI12</f>
        <v>0</v>
      </c>
      <c r="QR14" s="752">
        <f>[1]Субсидия_факт!NO12</f>
        <v>0</v>
      </c>
      <c r="QS14" s="521">
        <f>'Прочая  субсидия_МР  и  ГО'!B10</f>
        <v>193728269.80000001</v>
      </c>
      <c r="QT14" s="521">
        <f>'Прочая  субсидия_МР  и  ГО'!C10</f>
        <v>103277706.14</v>
      </c>
      <c r="QU14" s="524">
        <f>'Прочая  субсидия_БП'!B10</f>
        <v>4349042.9000000004</v>
      </c>
      <c r="QV14" s="526">
        <f>'Прочая  субсидия_БП'!C10</f>
        <v>2212996.4500000002</v>
      </c>
      <c r="QW14" s="583">
        <f>'Прочая  субсидия_БП'!D10</f>
        <v>2249042.9</v>
      </c>
      <c r="QX14" s="582">
        <f>'Прочая  субсидия_БП'!E10</f>
        <v>2212996.4500000002</v>
      </c>
      <c r="QY14" s="588">
        <f>'Прочая  субсидия_БП'!F10</f>
        <v>2100000</v>
      </c>
      <c r="QZ14" s="583">
        <f>'Прочая  субсидия_БП'!G10</f>
        <v>0</v>
      </c>
      <c r="RA14" s="526">
        <f t="shared" si="173"/>
        <v>387786084.01000005</v>
      </c>
      <c r="RB14" s="525">
        <f>'Проверочная  таблица'!SF14+'Проверочная  таблица'!RG14+'Проверочная  таблица'!RI14+'Проверочная  таблица'!RK14+RX14</f>
        <v>374789301.83000004</v>
      </c>
      <c r="RC14" s="508">
        <f>'Проверочная  таблица'!SG14+'Проверочная  таблица'!RM14+'Проверочная  таблица'!RS14+'Проверочная  таблица'!RO14+'Проверочная  таблица'!RQ14+RU14+RY14+SC14</f>
        <v>12996782.18</v>
      </c>
      <c r="RD14" s="521">
        <f t="shared" si="174"/>
        <v>281842738.61999995</v>
      </c>
      <c r="RE14" s="506">
        <f>'Проверочная  таблица'!SI14+'Проверочная  таблица'!RH14+'Проверочная  таблица'!RJ14+'Проверочная  таблица'!RL14+SA14</f>
        <v>277103862.66999996</v>
      </c>
      <c r="RF14" s="508">
        <f>'Проверочная  таблица'!SJ14+'Проверочная  таблица'!RN14+'Проверочная  таблица'!RT14+'Проверочная  таблица'!RP14+'Проверочная  таблица'!RR14+RV14+SB14+SD14</f>
        <v>4738875.95</v>
      </c>
      <c r="RG14" s="579">
        <f>'Субвенция  на  полномочия'!B10</f>
        <v>345777898.29000002</v>
      </c>
      <c r="RH14" s="466">
        <f>'Субвенция  на  полномочия'!C10</f>
        <v>257726199.53</v>
      </c>
      <c r="RI14" s="733">
        <f>[1]Субвенция_факт!Q11*1000</f>
        <v>20288968.999999996</v>
      </c>
      <c r="RJ14" s="736">
        <v>14478000</v>
      </c>
      <c r="RK14" s="733">
        <f>[1]Субвенция_факт!J11*1000</f>
        <v>3315791</v>
      </c>
      <c r="RL14" s="736">
        <v>2540000</v>
      </c>
      <c r="RM14" s="733">
        <f>[1]Субвенция_факт!AE11*1000</f>
        <v>1382000</v>
      </c>
      <c r="RN14" s="736">
        <v>740800.6</v>
      </c>
      <c r="RO14" s="733">
        <f>[1]Субвенция_факт!AF11*1000</f>
        <v>3000</v>
      </c>
      <c r="RP14" s="736">
        <v>0</v>
      </c>
      <c r="RQ14" s="733">
        <f>[1]Субвенция_факт!E11*1000</f>
        <v>0</v>
      </c>
      <c r="RR14" s="736"/>
      <c r="RS14" s="733">
        <f>[1]Субвенция_факт!F11*1000</f>
        <v>0</v>
      </c>
      <c r="RT14" s="827"/>
      <c r="RU14" s="170">
        <f>[1]Субвенция_факт!G11*1000</f>
        <v>0</v>
      </c>
      <c r="RV14" s="1109"/>
      <c r="RW14" s="521">
        <f t="shared" si="88"/>
        <v>13259691.219999999</v>
      </c>
      <c r="RX14" s="622">
        <f>[1]Субвенция_факт!N11*1000</f>
        <v>3712713.54</v>
      </c>
      <c r="RY14" s="682">
        <f>[1]Субвенция_факт!O11*1000</f>
        <v>9546977.6799999997</v>
      </c>
      <c r="RZ14" s="521">
        <f t="shared" si="89"/>
        <v>4123796.9299999997</v>
      </c>
      <c r="SA14" s="773">
        <v>1154663.1399999999</v>
      </c>
      <c r="SB14" s="1279">
        <v>2969133.79</v>
      </c>
      <c r="SC14" s="170">
        <f>[1]Субвенция_факт!AG11*1000</f>
        <v>464804.5</v>
      </c>
      <c r="SD14" s="1277"/>
      <c r="SE14" s="498">
        <f t="shared" si="175"/>
        <v>3293930</v>
      </c>
      <c r="SF14" s="833">
        <f>[1]Субвенция_факт!AD11*1000</f>
        <v>1693930</v>
      </c>
      <c r="SG14" s="1562">
        <f>[1]Субвенция_факт!AC11*1000</f>
        <v>1600000</v>
      </c>
      <c r="SH14" s="521">
        <f t="shared" si="176"/>
        <v>2233941.56</v>
      </c>
      <c r="SI14" s="1557">
        <v>1205000</v>
      </c>
      <c r="SJ14" s="1635">
        <v>1028941.56</v>
      </c>
      <c r="SK14" s="280">
        <f>'Проверочная  таблица'!VC14+'Проверочная  таблица'!UO14+'Проверочная  таблица'!SY14+'Проверочная  таблица'!TC14+UA14+UG14+TK14+TQ14+SM14+SS14</f>
        <v>47023180.140000001</v>
      </c>
      <c r="SL14" s="170">
        <f>'Проверочная  таблица'!VF14+'Проверочная  таблица'!UV14+'Проверочная  таблица'!TA14+'Проверочная  таблица'!TE14+UD14+UK14+TN14+TT14+SP14+SV14</f>
        <v>40959692.810000002</v>
      </c>
      <c r="SM14" s="524">
        <f t="shared" si="92"/>
        <v>15155280</v>
      </c>
      <c r="SN14" s="833">
        <f>'[1]Иные межбюджетные трансферты'!I12</f>
        <v>0</v>
      </c>
      <c r="SO14" s="880">
        <f>'[1]Иные межбюджетные трансферты'!K12</f>
        <v>15155280</v>
      </c>
      <c r="SP14" s="521">
        <f t="shared" si="93"/>
        <v>10215280.529999999</v>
      </c>
      <c r="SQ14" s="1421"/>
      <c r="SR14" s="1422">
        <v>10215280.529999999</v>
      </c>
      <c r="SS14" s="521">
        <f t="shared" si="177"/>
        <v>0</v>
      </c>
      <c r="ST14" s="1082">
        <f>'[1]Иные межбюджетные трансферты'!Y12</f>
        <v>0</v>
      </c>
      <c r="SU14" s="1630">
        <f>'[1]Иные межбюджетные трансферты'!AE12</f>
        <v>0</v>
      </c>
      <c r="SV14" s="521">
        <f t="shared" si="178"/>
        <v>0</v>
      </c>
      <c r="SW14" s="906"/>
      <c r="SX14" s="1422"/>
      <c r="SY14" s="1254">
        <f t="shared" si="94"/>
        <v>0</v>
      </c>
      <c r="SZ14" s="1009">
        <f>'[1]Иные межбюджетные трансферты'!AG12</f>
        <v>0</v>
      </c>
      <c r="TA14" s="899">
        <f t="shared" si="95"/>
        <v>0</v>
      </c>
      <c r="TB14" s="1422"/>
      <c r="TC14" s="903">
        <f t="shared" si="96"/>
        <v>0</v>
      </c>
      <c r="TD14" s="1009">
        <f>'[1]Иные межбюджетные трансферты'!AI12</f>
        <v>0</v>
      </c>
      <c r="TE14" s="899">
        <f t="shared" si="97"/>
        <v>0</v>
      </c>
      <c r="TF14" s="1082"/>
      <c r="TG14" s="901">
        <f t="shared" si="98"/>
        <v>0</v>
      </c>
      <c r="TH14" s="897">
        <f t="shared" si="99"/>
        <v>0</v>
      </c>
      <c r="TI14" s="1086">
        <f t="shared" si="179"/>
        <v>0</v>
      </c>
      <c r="TJ14" s="897">
        <f t="shared" si="180"/>
        <v>0</v>
      </c>
      <c r="TK14" s="903">
        <f t="shared" si="181"/>
        <v>0</v>
      </c>
      <c r="TL14" s="1079"/>
      <c r="TM14" s="682"/>
      <c r="TN14" s="903">
        <f t="shared" si="182"/>
        <v>0</v>
      </c>
      <c r="TO14" s="773"/>
      <c r="TP14" s="686"/>
      <c r="TQ14" s="903">
        <f t="shared" si="183"/>
        <v>0</v>
      </c>
      <c r="TR14" s="1079">
        <f>'[1]Иные межбюджетные трансферты'!AQ12</f>
        <v>0</v>
      </c>
      <c r="TS14" s="682">
        <f>'[1]Иные межбюджетные трансферты'!AU12</f>
        <v>0</v>
      </c>
      <c r="TT14" s="899">
        <f t="shared" si="184"/>
        <v>0</v>
      </c>
      <c r="TU14" s="753"/>
      <c r="TV14" s="771"/>
      <c r="TW14" s="820">
        <f t="shared" si="185"/>
        <v>0</v>
      </c>
      <c r="TX14" s="820">
        <f t="shared" si="186"/>
        <v>0</v>
      </c>
      <c r="TY14" s="820">
        <f t="shared" si="187"/>
        <v>0</v>
      </c>
      <c r="TZ14" s="1199">
        <f t="shared" si="188"/>
        <v>0</v>
      </c>
      <c r="UA14" s="1134">
        <f t="shared" si="100"/>
        <v>1000000</v>
      </c>
      <c r="UB14" s="945">
        <f>'[1]Иные межбюджетные трансферты'!U12</f>
        <v>0</v>
      </c>
      <c r="UC14" s="1133">
        <f>'[1]Иные межбюджетные трансферты'!W12</f>
        <v>1000000</v>
      </c>
      <c r="UD14" s="734">
        <f t="shared" si="101"/>
        <v>1000000</v>
      </c>
      <c r="UE14" s="945"/>
      <c r="UF14" s="1426">
        <v>1000000</v>
      </c>
      <c r="UG14" s="734">
        <f t="shared" si="189"/>
        <v>0</v>
      </c>
      <c r="UH14" s="945">
        <f>'[1]Иные межбюджетные трансферты'!O12</f>
        <v>0</v>
      </c>
      <c r="UI14" s="1133">
        <f>'[1]Иные межбюджетные трансферты'!Q12</f>
        <v>0</v>
      </c>
      <c r="UJ14" s="1133">
        <f>'[1]Иные межбюджетные трансферты'!S12</f>
        <v>0</v>
      </c>
      <c r="UK14" s="734">
        <f t="shared" si="190"/>
        <v>0</v>
      </c>
      <c r="UL14" s="1513"/>
      <c r="UM14" s="1426"/>
      <c r="UN14" s="1624"/>
      <c r="UO14" s="1585">
        <f t="shared" si="191"/>
        <v>27636094.09</v>
      </c>
      <c r="UP14" s="833">
        <f>'[1]Иные межбюджетные трансферты'!E12</f>
        <v>0</v>
      </c>
      <c r="UQ14" s="880">
        <f>'[1]Иные межбюджетные трансферты'!G12</f>
        <v>0</v>
      </c>
      <c r="UR14" s="830">
        <f>'[1]Иные межбюджетные трансферты'!M12</f>
        <v>26621400</v>
      </c>
      <c r="US14" s="1044"/>
      <c r="UT14" s="1498">
        <f>'[1]Иные межбюджетные трансферты'!AY12</f>
        <v>0</v>
      </c>
      <c r="UU14" s="1539">
        <f>'[1]Иные межбюджетные трансферты'!BA12</f>
        <v>1014694.09</v>
      </c>
      <c r="UV14" s="834">
        <f t="shared" si="192"/>
        <v>26740925.780000001</v>
      </c>
      <c r="UW14" s="908"/>
      <c r="UX14" s="906"/>
      <c r="UY14" s="1425">
        <v>25726231.690000001</v>
      </c>
      <c r="UZ14" s="516"/>
      <c r="VA14" s="518">
        <f t="shared" si="102"/>
        <v>0</v>
      </c>
      <c r="VB14" s="516">
        <f t="shared" si="193"/>
        <v>1014694.09</v>
      </c>
      <c r="VC14" s="899">
        <f t="shared" si="194"/>
        <v>3231806.05</v>
      </c>
      <c r="VD14" s="830">
        <f>'[1]Иные межбюджетные трансферты'!AM12</f>
        <v>228319.55</v>
      </c>
      <c r="VE14" s="1587">
        <f>'[1]Иные межбюджетные трансферты'!BC12</f>
        <v>3003486.5</v>
      </c>
      <c r="VF14" s="1495">
        <f t="shared" si="195"/>
        <v>3003486.5</v>
      </c>
      <c r="VG14" s="753"/>
      <c r="VH14" s="1251">
        <f t="shared" si="196"/>
        <v>3003486.5</v>
      </c>
      <c r="VI14" s="1199">
        <f t="shared" si="197"/>
        <v>3231806.05</v>
      </c>
      <c r="VJ14" s="516">
        <f>'Проверочная  таблица'!VD14-VP14</f>
        <v>228319.55</v>
      </c>
      <c r="VK14" s="516">
        <f>'Проверочная  таблица'!VE14-VQ14</f>
        <v>3003486.5</v>
      </c>
      <c r="VL14" s="1199">
        <f t="shared" si="198"/>
        <v>3003486.5</v>
      </c>
      <c r="VM14" s="516">
        <f>'Проверочная  таблица'!VG14-VS14</f>
        <v>0</v>
      </c>
      <c r="VN14" s="516">
        <f>'Проверочная  таблица'!VH14-VT14</f>
        <v>3003486.5</v>
      </c>
      <c r="VO14" s="1199">
        <f t="shared" si="199"/>
        <v>0</v>
      </c>
      <c r="VP14" s="833">
        <f>'[1]Иные межбюджетные трансферты'!AO12</f>
        <v>0</v>
      </c>
      <c r="VQ14" s="830">
        <f>'[1]Иные межбюджетные трансферты'!BE12</f>
        <v>0</v>
      </c>
      <c r="VR14" s="1501">
        <f t="shared" si="200"/>
        <v>0</v>
      </c>
      <c r="VS14" s="1492"/>
      <c r="VT14" s="518">
        <f t="shared" si="201"/>
        <v>0</v>
      </c>
      <c r="VU14" s="521">
        <f>VW14+'Проверочная  таблица'!WE14+WA14+'Проверочная  таблица'!WI14+WC14+'Проверочная  таблица'!WK14</f>
        <v>0</v>
      </c>
      <c r="VV14" s="521">
        <f>VX14+'Проверочная  таблица'!WF14+WB14+'Проверочная  таблица'!WJ14+WD14+'Проверочная  таблица'!WL14</f>
        <v>0</v>
      </c>
      <c r="VW14" s="533"/>
      <c r="VX14" s="533"/>
      <c r="VY14" s="533"/>
      <c r="VZ14" s="533"/>
      <c r="WA14" s="530">
        <f t="shared" si="103"/>
        <v>0</v>
      </c>
      <c r="WB14" s="528">
        <f t="shared" si="104"/>
        <v>0</v>
      </c>
      <c r="WC14" s="534"/>
      <c r="WD14" s="523"/>
      <c r="WE14" s="533"/>
      <c r="WF14" s="533"/>
      <c r="WG14" s="533"/>
      <c r="WH14" s="533"/>
      <c r="WI14" s="530">
        <f t="shared" si="105"/>
        <v>0</v>
      </c>
      <c r="WJ14" s="528">
        <f t="shared" si="106"/>
        <v>0</v>
      </c>
      <c r="WK14" s="523"/>
      <c r="WL14" s="523"/>
      <c r="WM14" s="252">
        <f>'Проверочная  таблица'!WE14+'Проверочная  таблица'!WG14</f>
        <v>0</v>
      </c>
      <c r="WN14" s="252">
        <f>'Проверочная  таблица'!WF14+'Проверочная  таблица'!WH14</f>
        <v>0</v>
      </c>
      <c r="WO14" s="1042"/>
    </row>
    <row r="15" spans="1:613" s="338" customFormat="1" ht="25.5" customHeight="1" x14ac:dyDescent="0.25">
      <c r="A15" s="347" t="s">
        <v>82</v>
      </c>
      <c r="B15" s="526">
        <f>D15+AI15+'Проверочная  таблица'!RA15+'Проверочная  таблица'!SK15</f>
        <v>632049487.77999997</v>
      </c>
      <c r="C15" s="521">
        <f>E15+'Проверочная  таблица'!RD15+AJ15+'Проверочная  таблица'!SL15</f>
        <v>445753150.60000002</v>
      </c>
      <c r="D15" s="524">
        <f t="shared" si="0"/>
        <v>87536100</v>
      </c>
      <c r="E15" s="526">
        <f t="shared" si="1"/>
        <v>68888927.359999999</v>
      </c>
      <c r="F15" s="581">
        <f>'[1]Дотация  из  ОБ_факт'!M11</f>
        <v>1357700</v>
      </c>
      <c r="G15" s="963">
        <v>1018273.66</v>
      </c>
      <c r="H15" s="581">
        <f>'[1]Дотация  из  ОБ_факт'!G11</f>
        <v>42108000</v>
      </c>
      <c r="I15" s="963">
        <v>32519304.050000001</v>
      </c>
      <c r="J15" s="582">
        <f t="shared" si="2"/>
        <v>42108000</v>
      </c>
      <c r="K15" s="588">
        <f t="shared" si="3"/>
        <v>32519304.050000001</v>
      </c>
      <c r="L15" s="835">
        <f>'[1]Дотация  из  ОБ_факт'!K11</f>
        <v>0</v>
      </c>
      <c r="M15" s="1446"/>
      <c r="N15" s="581">
        <f>'[1]Дотация  из  ОБ_факт'!Q11</f>
        <v>4028549.9999999995</v>
      </c>
      <c r="O15" s="963">
        <v>2052486.75</v>
      </c>
      <c r="P15" s="581">
        <f>'[1]Дотация  из  ОБ_факт'!S11</f>
        <v>38353889</v>
      </c>
      <c r="Q15" s="1442">
        <v>31610901.899999999</v>
      </c>
      <c r="R15" s="588">
        <f t="shared" si="4"/>
        <v>38353889</v>
      </c>
      <c r="S15" s="583">
        <f t="shared" si="5"/>
        <v>31610901.899999999</v>
      </c>
      <c r="T15" s="835">
        <f>'[1]Дотация  из  ОБ_факт'!W11</f>
        <v>0</v>
      </c>
      <c r="U15" s="1448"/>
      <c r="V15" s="581">
        <f>'[1]Дотация  из  ОБ_факт'!AA11+'[1]Дотация  из  ОБ_факт'!AC11+'[1]Дотация  из  ОБ_факт'!AG11</f>
        <v>1458461</v>
      </c>
      <c r="W15" s="461">
        <f t="shared" si="6"/>
        <v>1458461</v>
      </c>
      <c r="X15" s="585"/>
      <c r="Y15" s="584"/>
      <c r="Z15" s="585">
        <v>1458461</v>
      </c>
      <c r="AA15" s="581">
        <f>'[1]Дотация  из  ОБ_факт'!Y11+'[1]Дотация  из  ОБ_факт'!AE11</f>
        <v>229500</v>
      </c>
      <c r="AB15" s="172">
        <f t="shared" si="7"/>
        <v>229500</v>
      </c>
      <c r="AC15" s="584">
        <v>229500</v>
      </c>
      <c r="AD15" s="585"/>
      <c r="AE15" s="582">
        <f t="shared" si="8"/>
        <v>229500</v>
      </c>
      <c r="AF15" s="588">
        <f t="shared" si="9"/>
        <v>229500</v>
      </c>
      <c r="AG15" s="1187">
        <f>'[1]Дотация  из  ОБ_факт'!AE11</f>
        <v>0</v>
      </c>
      <c r="AH15" s="1480">
        <f t="shared" si="107"/>
        <v>0</v>
      </c>
      <c r="AI15" s="579">
        <f>'Проверочная  таблица'!KW15+'Проверочная  таблица'!QS15+'Проверочная  таблица'!QU15+CS15+CU15+DA15+DC15+BU15+CE15+'Проверочная  таблица'!IQ15+'Проверочная  таблица'!JK15+'Проверочная  таблица'!EE15+'Проверочная  таблица'!KO15+DQ15+'Проверочная  таблица'!HQ15+'Проверочная  таблица'!HW15+'Проверочная  таблица'!LA15+'Проверочная  таблица'!LI15+HK15+FQ15+FE15+NK15+EY15+AK15+AW15+FK15+GM15+GS15+DI15+NQ15+FW15+EK15+OE15+MG15+GG15+PU15+QA15</f>
        <v>146621502.94</v>
      </c>
      <c r="AJ15" s="498">
        <f>'Проверочная  таблица'!KY15+'Проверочная  таблица'!QT15+'Проверочная  таблица'!QV15+CT15+CV15+DB15+DD15+BZ15+CJ15+'Проверочная  таблица'!JA15+'Проверочная  таблица'!JP15+'Проверочная  таблица'!EH15+'Проверочная  таблица'!KS15+DX15+'Проверочная  таблица'!HT15+'Проверочная  таблица'!HZ15+'Проверочная  таблица'!LE15+'Проверочная  таблица'!LM15+HN15+FN15+FT15+FH15+NN15+FB15+AQ15+BA15+GP15+GV15+DM15+NX15+FZ15+ER15+OL15+ML15+GJ15+PX15+QD15</f>
        <v>72597167.709999993</v>
      </c>
      <c r="AK15" s="466">
        <f t="shared" si="108"/>
        <v>76824224</v>
      </c>
      <c r="AL15" s="525">
        <f>[1]Субсидия_факт!CD13</f>
        <v>0</v>
      </c>
      <c r="AM15" s="508">
        <f>[1]Субсидия_факт!EX13</f>
        <v>76824224</v>
      </c>
      <c r="AN15" s="506">
        <f>[1]Субсидия_факт!FJ13</f>
        <v>0</v>
      </c>
      <c r="AO15" s="525">
        <f>[1]Субсидия_факт!LT13</f>
        <v>0</v>
      </c>
      <c r="AP15" s="622">
        <f>[1]Субсидия_факт!LZ13</f>
        <v>0</v>
      </c>
      <c r="AQ15" s="748">
        <f t="shared" si="109"/>
        <v>18363237.890000001</v>
      </c>
      <c r="AR15" s="474"/>
      <c r="AS15" s="474">
        <v>18363237.890000001</v>
      </c>
      <c r="AT15" s="474"/>
      <c r="AU15" s="474"/>
      <c r="AV15" s="531"/>
      <c r="AW15" s="498">
        <f t="shared" si="10"/>
        <v>0</v>
      </c>
      <c r="AX15" s="525">
        <f>[1]Субсидия_факт!CF13</f>
        <v>0</v>
      </c>
      <c r="AY15" s="508">
        <f>[1]Субсидия_факт!FB13</f>
        <v>0</v>
      </c>
      <c r="AZ15" s="646">
        <f>[1]Субсидия_факт!LV13</f>
        <v>0</v>
      </c>
      <c r="BA15" s="466">
        <f t="shared" si="11"/>
        <v>0</v>
      </c>
      <c r="BB15" s="531"/>
      <c r="BC15" s="531"/>
      <c r="BD15" s="532"/>
      <c r="BE15" s="669">
        <f t="shared" si="12"/>
        <v>0</v>
      </c>
      <c r="BF15" s="652">
        <f t="shared" si="13"/>
        <v>0</v>
      </c>
      <c r="BG15" s="464">
        <f t="shared" si="14"/>
        <v>0</v>
      </c>
      <c r="BH15" s="341">
        <f t="shared" si="15"/>
        <v>0</v>
      </c>
      <c r="BI15" s="669">
        <f t="shared" si="16"/>
        <v>0</v>
      </c>
      <c r="BJ15" s="622">
        <f t="shared" si="17"/>
        <v>0</v>
      </c>
      <c r="BK15" s="506">
        <f t="shared" si="18"/>
        <v>0</v>
      </c>
      <c r="BL15" s="341">
        <f t="shared" si="19"/>
        <v>0</v>
      </c>
      <c r="BM15" s="667">
        <f t="shared" si="20"/>
        <v>0</v>
      </c>
      <c r="BN15" s="525">
        <f>[1]Субсидия_факт!CH13</f>
        <v>0</v>
      </c>
      <c r="BO15" s="508">
        <f>[1]Субсидия_факт!FD13</f>
        <v>0</v>
      </c>
      <c r="BP15" s="646">
        <f>[1]Субсидия_факт!LX13</f>
        <v>0</v>
      </c>
      <c r="BQ15" s="669">
        <f t="shared" si="21"/>
        <v>0</v>
      </c>
      <c r="BR15" s="532"/>
      <c r="BS15" s="531"/>
      <c r="BT15" s="532"/>
      <c r="BU15" s="521">
        <f t="shared" si="110"/>
        <v>35408887.399999999</v>
      </c>
      <c r="BV15" s="562">
        <f>[1]Субсидия_факт!HB13</f>
        <v>0</v>
      </c>
      <c r="BW15" s="516">
        <f>[1]Субсидия_факт!HH13</f>
        <v>35408887.399999999</v>
      </c>
      <c r="BX15" s="531">
        <f>[1]Субсидия_факт!HP13</f>
        <v>0</v>
      </c>
      <c r="BY15" s="562">
        <f>[1]Субсидия_факт!HV13</f>
        <v>0</v>
      </c>
      <c r="BZ15" s="521">
        <f t="shared" si="111"/>
        <v>35301926.890000001</v>
      </c>
      <c r="CA15" s="531"/>
      <c r="CB15" s="531">
        <v>35301926.890000001</v>
      </c>
      <c r="CC15" s="625"/>
      <c r="CD15" s="625"/>
      <c r="CE15" s="526">
        <f t="shared" si="112"/>
        <v>0</v>
      </c>
      <c r="CF15" s="525">
        <f>[1]Субсидия_факт!HD13</f>
        <v>0</v>
      </c>
      <c r="CG15" s="525">
        <f>[1]Субсидия_факт!HJ13</f>
        <v>0</v>
      </c>
      <c r="CH15" s="531">
        <f>[1]Субсидия_факт!HR13</f>
        <v>0</v>
      </c>
      <c r="CI15" s="646">
        <f>[1]Субсидия_факт!HX13</f>
        <v>0</v>
      </c>
      <c r="CJ15" s="521">
        <f t="shared" si="113"/>
        <v>0</v>
      </c>
      <c r="CK15" s="531"/>
      <c r="CL15" s="532"/>
      <c r="CM15" s="625"/>
      <c r="CN15" s="724"/>
      <c r="CO15" s="530">
        <f t="shared" si="22"/>
        <v>0</v>
      </c>
      <c r="CP15" s="528">
        <f t="shared" si="23"/>
        <v>0</v>
      </c>
      <c r="CQ15" s="527">
        <f t="shared" si="114"/>
        <v>0</v>
      </c>
      <c r="CR15" s="530">
        <f t="shared" si="115"/>
        <v>0</v>
      </c>
      <c r="CS15" s="521">
        <f>[1]Субсидия_факт!FL13</f>
        <v>0</v>
      </c>
      <c r="CT15" s="620"/>
      <c r="CU15" s="521">
        <f>[1]Субсидия_факт!FN13</f>
        <v>0</v>
      </c>
      <c r="CV15" s="620"/>
      <c r="CW15" s="528">
        <f t="shared" si="24"/>
        <v>0</v>
      </c>
      <c r="CX15" s="527">
        <f t="shared" si="25"/>
        <v>0</v>
      </c>
      <c r="CY15" s="587">
        <f>[1]Субсидия_факт!FP13</f>
        <v>0</v>
      </c>
      <c r="CZ15" s="1480">
        <f t="shared" ref="CZ15:CZ29" si="205">CV15</f>
        <v>0</v>
      </c>
      <c r="DA15" s="526">
        <f>[1]Субсидия_факт!FR13</f>
        <v>0</v>
      </c>
      <c r="DB15" s="339"/>
      <c r="DC15" s="524">
        <f>[1]Субсидия_факт!FT13</f>
        <v>0</v>
      </c>
      <c r="DD15" s="339"/>
      <c r="DE15" s="1238">
        <f t="shared" si="26"/>
        <v>0</v>
      </c>
      <c r="DF15" s="528">
        <f t="shared" si="27"/>
        <v>0</v>
      </c>
      <c r="DG15" s="663">
        <f>[1]Субсидия_факт!FV13</f>
        <v>0</v>
      </c>
      <c r="DH15" s="1478">
        <f t="shared" si="116"/>
        <v>0</v>
      </c>
      <c r="DI15" s="498">
        <f t="shared" si="117"/>
        <v>0</v>
      </c>
      <c r="DJ15" s="625">
        <f>[1]Субсидия_факт!EV13</f>
        <v>0</v>
      </c>
      <c r="DK15" s="516">
        <f>[1]Субсидия_факт!EL13</f>
        <v>0</v>
      </c>
      <c r="DL15" s="838">
        <f>[1]Субсидия_факт!EN13</f>
        <v>0</v>
      </c>
      <c r="DM15" s="466">
        <f t="shared" si="118"/>
        <v>0</v>
      </c>
      <c r="DN15" s="625"/>
      <c r="DO15" s="625"/>
      <c r="DP15" s="987"/>
      <c r="DQ15" s="526">
        <f t="shared" si="28"/>
        <v>4600000</v>
      </c>
      <c r="DR15" s="508">
        <f>[1]Субсидия_факт!N13</f>
        <v>4600000</v>
      </c>
      <c r="DS15" s="652">
        <f>[1]Субсидия_факт!P13</f>
        <v>0</v>
      </c>
      <c r="DT15" s="682">
        <f>[1]Субсидия_факт!R13</f>
        <v>0</v>
      </c>
      <c r="DU15" s="506">
        <f>[1]Субсидия_факт!T13</f>
        <v>0</v>
      </c>
      <c r="DV15" s="689">
        <f>[1]Субсидия_факт!V13</f>
        <v>0</v>
      </c>
      <c r="DW15" s="506">
        <f>[1]Субсидия_факт!X13</f>
        <v>0</v>
      </c>
      <c r="DX15" s="521">
        <f t="shared" si="29"/>
        <v>3620954.39</v>
      </c>
      <c r="DY15" s="532">
        <v>3620954.39</v>
      </c>
      <c r="DZ15" s="531"/>
      <c r="EA15" s="686"/>
      <c r="EB15" s="531"/>
      <c r="EC15" s="686"/>
      <c r="ED15" s="531"/>
      <c r="EE15" s="498">
        <f t="shared" si="30"/>
        <v>0</v>
      </c>
      <c r="EF15" s="516">
        <f>[1]Субсидия_факт!BL13</f>
        <v>0</v>
      </c>
      <c r="EG15" s="838">
        <f>[1]Субсидия_факт!BN13</f>
        <v>0</v>
      </c>
      <c r="EH15" s="466">
        <f t="shared" si="31"/>
        <v>0</v>
      </c>
      <c r="EI15" s="772"/>
      <c r="EJ15" s="987"/>
      <c r="EK15" s="526">
        <f t="shared" si="32"/>
        <v>0</v>
      </c>
      <c r="EL15" s="525">
        <f>[1]Субсидия_факт!AF13</f>
        <v>0</v>
      </c>
      <c r="EM15" s="689">
        <f>[1]Субсидия_факт!AH13</f>
        <v>0</v>
      </c>
      <c r="EN15" s="506">
        <f>[1]Субсидия_факт!AJ13</f>
        <v>0</v>
      </c>
      <c r="EO15" s="866">
        <f>[1]Субсидия_факт!AL13</f>
        <v>0</v>
      </c>
      <c r="EP15" s="622">
        <f>[1]Субсидия_факт!AN13</f>
        <v>0</v>
      </c>
      <c r="EQ15" s="712">
        <f>[1]Субсидия_факт!AP13</f>
        <v>0</v>
      </c>
      <c r="ER15" s="521">
        <f t="shared" si="33"/>
        <v>0</v>
      </c>
      <c r="ES15" s="474"/>
      <c r="ET15" s="686"/>
      <c r="EU15" s="474"/>
      <c r="EV15" s="686"/>
      <c r="EW15" s="474"/>
      <c r="EX15" s="686"/>
      <c r="EY15" s="498">
        <f t="shared" si="34"/>
        <v>0</v>
      </c>
      <c r="EZ15" s="516">
        <f>[1]Субсидия_факт!AV13</f>
        <v>0</v>
      </c>
      <c r="FA15" s="752">
        <f>[1]Субсидия_факт!AX13</f>
        <v>0</v>
      </c>
      <c r="FB15" s="466">
        <f t="shared" si="35"/>
        <v>0</v>
      </c>
      <c r="FC15" s="772"/>
      <c r="FD15" s="678"/>
      <c r="FE15" s="498">
        <f t="shared" si="36"/>
        <v>0</v>
      </c>
      <c r="FF15" s="516">
        <f>[1]Субсидия_факт!BT13</f>
        <v>0</v>
      </c>
      <c r="FG15" s="838">
        <f>[1]Субсидия_факт!BV13</f>
        <v>0</v>
      </c>
      <c r="FH15" s="466">
        <f t="shared" si="37"/>
        <v>0</v>
      </c>
      <c r="FI15" s="772"/>
      <c r="FJ15" s="678"/>
      <c r="FK15" s="498">
        <f t="shared" si="38"/>
        <v>0</v>
      </c>
      <c r="FL15" s="516">
        <f>[1]Субсидия_факт!BP13</f>
        <v>0</v>
      </c>
      <c r="FM15" s="838">
        <f>[1]Субсидия_факт!BR13</f>
        <v>0</v>
      </c>
      <c r="FN15" s="466">
        <f t="shared" si="39"/>
        <v>0</v>
      </c>
      <c r="FO15" s="772"/>
      <c r="FP15" s="678"/>
      <c r="FQ15" s="498">
        <f t="shared" si="40"/>
        <v>0</v>
      </c>
      <c r="FR15" s="516">
        <f>[1]Субсидия_факт!IV13</f>
        <v>0</v>
      </c>
      <c r="FS15" s="838">
        <f>[1]Субсидия_факт!IX13</f>
        <v>0</v>
      </c>
      <c r="FT15" s="466">
        <f t="shared" si="41"/>
        <v>0</v>
      </c>
      <c r="FU15" s="772"/>
      <c r="FV15" s="678"/>
      <c r="FW15" s="498">
        <f t="shared" si="42"/>
        <v>0</v>
      </c>
      <c r="FX15" s="516">
        <f>[1]Субсидия_факт!IZ13</f>
        <v>0</v>
      </c>
      <c r="FY15" s="838">
        <f>[1]Субсидия_факт!JD13</f>
        <v>0</v>
      </c>
      <c r="FZ15" s="466">
        <f t="shared" si="43"/>
        <v>0</v>
      </c>
      <c r="GA15" s="772"/>
      <c r="GB15" s="678"/>
      <c r="GC15" s="667">
        <f t="shared" si="119"/>
        <v>0</v>
      </c>
      <c r="GD15" s="669">
        <f t="shared" si="120"/>
        <v>0</v>
      </c>
      <c r="GE15" s="667">
        <f t="shared" si="121"/>
        <v>0</v>
      </c>
      <c r="GF15" s="669">
        <f t="shared" si="122"/>
        <v>0</v>
      </c>
      <c r="GG15" s="498">
        <f t="shared" si="123"/>
        <v>0</v>
      </c>
      <c r="GH15" s="1251">
        <f>[1]Субсидия_факт!BH13</f>
        <v>0</v>
      </c>
      <c r="GI15" s="676">
        <f>[1]Субсидия_факт!BJ13</f>
        <v>0</v>
      </c>
      <c r="GJ15" s="498">
        <f t="shared" si="124"/>
        <v>0</v>
      </c>
      <c r="GK15" s="724"/>
      <c r="GL15" s="678"/>
      <c r="GM15" s="498">
        <f t="shared" si="44"/>
        <v>0</v>
      </c>
      <c r="GN15" s="516"/>
      <c r="GO15" s="838"/>
      <c r="GP15" s="466">
        <f t="shared" si="45"/>
        <v>0</v>
      </c>
      <c r="GQ15" s="724"/>
      <c r="GR15" s="678"/>
      <c r="GS15" s="498">
        <f t="shared" si="46"/>
        <v>269000</v>
      </c>
      <c r="GT15" s="516">
        <f>[1]Субсидия_факт!FZ13</f>
        <v>134417.10999999999</v>
      </c>
      <c r="GU15" s="838">
        <f>[1]Субсидия_факт!GD13</f>
        <v>134582.89000000001</v>
      </c>
      <c r="GV15" s="466">
        <f t="shared" si="47"/>
        <v>268921.74</v>
      </c>
      <c r="GW15" s="724">
        <v>134378</v>
      </c>
      <c r="GX15" s="678">
        <v>134543.74</v>
      </c>
      <c r="GY15" s="667">
        <f t="shared" si="48"/>
        <v>269000</v>
      </c>
      <c r="GZ15" s="516">
        <f t="shared" si="125"/>
        <v>134417.10999999999</v>
      </c>
      <c r="HA15" s="838">
        <f t="shared" si="125"/>
        <v>134582.89000000001</v>
      </c>
      <c r="HB15" s="669">
        <f t="shared" si="49"/>
        <v>268921.74</v>
      </c>
      <c r="HC15" s="516">
        <f t="shared" si="125"/>
        <v>134378</v>
      </c>
      <c r="HD15" s="838">
        <f t="shared" si="125"/>
        <v>134543.74</v>
      </c>
      <c r="HE15" s="667">
        <f t="shared" si="50"/>
        <v>0</v>
      </c>
      <c r="HF15" s="516">
        <f>[1]Субсидия_факт!GB13</f>
        <v>0</v>
      </c>
      <c r="HG15" s="838">
        <f>[1]Субсидия_факт!GF13</f>
        <v>0</v>
      </c>
      <c r="HH15" s="669">
        <f t="shared" si="51"/>
        <v>0</v>
      </c>
      <c r="HI15" s="724"/>
      <c r="HJ15" s="678"/>
      <c r="HK15" s="526">
        <f t="shared" si="126"/>
        <v>0</v>
      </c>
      <c r="HL15" s="518">
        <f>[1]Субсидия_факт!DD13</f>
        <v>0</v>
      </c>
      <c r="HM15" s="752">
        <f>[1]Субсидия_факт!DF13</f>
        <v>0</v>
      </c>
      <c r="HN15" s="521">
        <f t="shared" si="127"/>
        <v>0</v>
      </c>
      <c r="HO15" s="531"/>
      <c r="HP15" s="706"/>
      <c r="HQ15" s="579">
        <f t="shared" si="54"/>
        <v>419456.55</v>
      </c>
      <c r="HR15" s="516">
        <f>[1]Субсидия_факт!CR13</f>
        <v>117447.83999999997</v>
      </c>
      <c r="HS15" s="838">
        <f>[1]Субсидия_факт!CX13</f>
        <v>302008.71000000002</v>
      </c>
      <c r="HT15" s="466">
        <f t="shared" si="55"/>
        <v>419456.55</v>
      </c>
      <c r="HU15" s="1251">
        <f>HR15</f>
        <v>117447.83999999997</v>
      </c>
      <c r="HV15" s="1519">
        <f t="shared" si="202"/>
        <v>302008.71000000002</v>
      </c>
      <c r="HW15" s="466">
        <f t="shared" si="56"/>
        <v>0</v>
      </c>
      <c r="HX15" s="516">
        <f>[1]Субсидия_факт!CT13</f>
        <v>0</v>
      </c>
      <c r="HY15" s="752">
        <f>[1]Субсидия_факт!CZ13</f>
        <v>0</v>
      </c>
      <c r="HZ15" s="466">
        <f t="shared" si="57"/>
        <v>0</v>
      </c>
      <c r="IA15" s="757">
        <f t="shared" si="128"/>
        <v>0</v>
      </c>
      <c r="IB15" s="789">
        <f t="shared" si="129"/>
        <v>0</v>
      </c>
      <c r="IC15" s="625">
        <v>117447.84</v>
      </c>
      <c r="ID15" s="709">
        <v>302008.71000000002</v>
      </c>
      <c r="IE15" s="669">
        <f t="shared" si="58"/>
        <v>0</v>
      </c>
      <c r="IF15" s="750">
        <f>'Проверочная  таблица'!HX15-'Проверочная  таблица'!IL15</f>
        <v>0</v>
      </c>
      <c r="IG15" s="676">
        <f>'Проверочная  таблица'!HY15-'Проверочная  таблица'!IM15</f>
        <v>0</v>
      </c>
      <c r="IH15" s="663">
        <f t="shared" si="59"/>
        <v>0</v>
      </c>
      <c r="II15" s="757">
        <f>'Проверочная  таблица'!IA15-'Проверочная  таблица'!IO15</f>
        <v>0</v>
      </c>
      <c r="IJ15" s="768">
        <f>'Проверочная  таблица'!IB15-'Проверочная  таблица'!IP15</f>
        <v>0</v>
      </c>
      <c r="IK15" s="669">
        <f t="shared" si="60"/>
        <v>0</v>
      </c>
      <c r="IL15" s="516">
        <f>[1]Субсидия_факт!CV13</f>
        <v>0</v>
      </c>
      <c r="IM15" s="838">
        <f>[1]Субсидия_факт!DB13</f>
        <v>0</v>
      </c>
      <c r="IN15" s="669">
        <f t="shared" si="61"/>
        <v>0</v>
      </c>
      <c r="IO15" s="724"/>
      <c r="IP15" s="678"/>
      <c r="IQ15" s="466">
        <f t="shared" si="130"/>
        <v>5270000</v>
      </c>
      <c r="IR15" s="757">
        <f>[1]Субсидия_факт!CJ13</f>
        <v>0</v>
      </c>
      <c r="IS15" s="676">
        <f>[1]Субсидия_факт!CN13</f>
        <v>0</v>
      </c>
      <c r="IT15" s="757">
        <f>[1]Субсидия_факт!DH13</f>
        <v>0</v>
      </c>
      <c r="IU15" s="676">
        <f>[1]Субсидия_факт!DN13</f>
        <v>0</v>
      </c>
      <c r="IV15" s="525">
        <f>[1]Субсидия_факт!DX13</f>
        <v>0</v>
      </c>
      <c r="IW15" s="689">
        <f>[1]Субсидия_факт!DZ13</f>
        <v>0</v>
      </c>
      <c r="IX15" s="1295">
        <f>[1]Субсидия_факт!DT13</f>
        <v>269612.63</v>
      </c>
      <c r="IY15" s="676">
        <f>[1]Субсидия_факт!DV13</f>
        <v>5000387.37</v>
      </c>
      <c r="IZ15" s="516">
        <f>[1]Субсидия_факт!EB13</f>
        <v>0</v>
      </c>
      <c r="JA15" s="466">
        <f t="shared" si="131"/>
        <v>5270000</v>
      </c>
      <c r="JB15" s="625"/>
      <c r="JC15" s="678"/>
      <c r="JD15" s="625"/>
      <c r="JE15" s="678"/>
      <c r="JF15" s="531"/>
      <c r="JG15" s="706"/>
      <c r="JH15" s="625">
        <v>269612.65000000002</v>
      </c>
      <c r="JI15" s="678">
        <v>5000387.3499999996</v>
      </c>
      <c r="JJ15" s="757">
        <f t="shared" si="132"/>
        <v>0</v>
      </c>
      <c r="JK15" s="748">
        <f t="shared" si="133"/>
        <v>0</v>
      </c>
      <c r="JL15" s="757">
        <f>[1]Субсидия_факт!CL13</f>
        <v>0</v>
      </c>
      <c r="JM15" s="676">
        <f>[1]Субсидия_факт!CP13</f>
        <v>0</v>
      </c>
      <c r="JN15" s="757">
        <f>[1]Субсидия_факт!DJ13</f>
        <v>0</v>
      </c>
      <c r="JO15" s="676">
        <f>[1]Субсидия_факт!DP13</f>
        <v>0</v>
      </c>
      <c r="JP15" s="748">
        <f t="shared" si="134"/>
        <v>0</v>
      </c>
      <c r="JQ15" s="625"/>
      <c r="JR15" s="678"/>
      <c r="JS15" s="625"/>
      <c r="JT15" s="678"/>
      <c r="JU15" s="587">
        <f t="shared" si="135"/>
        <v>0</v>
      </c>
      <c r="JV15" s="757">
        <f>'Проверочная  таблица'!JL15-KF15</f>
        <v>0</v>
      </c>
      <c r="JW15" s="676">
        <f>'Проверочная  таблица'!JM15-KG15</f>
        <v>0</v>
      </c>
      <c r="JX15" s="757">
        <f>'Проверочная  таблица'!JN15-KH15</f>
        <v>0</v>
      </c>
      <c r="JY15" s="676">
        <f>'Проверочная  таблица'!JO15-KI15</f>
        <v>0</v>
      </c>
      <c r="JZ15" s="587">
        <f t="shared" si="136"/>
        <v>0</v>
      </c>
      <c r="KA15" s="757">
        <f>'Проверочная  таблица'!JQ15-KK15</f>
        <v>0</v>
      </c>
      <c r="KB15" s="676">
        <f>'Проверочная  таблица'!JR15-KL15</f>
        <v>0</v>
      </c>
      <c r="KC15" s="757">
        <f>'Проверочная  таблица'!JS15-KM15</f>
        <v>0</v>
      </c>
      <c r="KD15" s="789">
        <f>'Проверочная  таблица'!JT15-KN15</f>
        <v>0</v>
      </c>
      <c r="KE15" s="587">
        <f t="shared" si="137"/>
        <v>0</v>
      </c>
      <c r="KF15" s="625"/>
      <c r="KG15" s="678"/>
      <c r="KH15" s="757">
        <f>[1]Субсидия_факт!DL13</f>
        <v>0</v>
      </c>
      <c r="KI15" s="1519">
        <f>[1]Субсидия_факт!DR13</f>
        <v>0</v>
      </c>
      <c r="KJ15" s="587">
        <f t="shared" si="138"/>
        <v>0</v>
      </c>
      <c r="KK15" s="753"/>
      <c r="KL15" s="678"/>
      <c r="KM15" s="625"/>
      <c r="KN15" s="678"/>
      <c r="KO15" s="579">
        <f t="shared" si="139"/>
        <v>0</v>
      </c>
      <c r="KP15" s="516">
        <f>[1]Субсидия_факт!BX13</f>
        <v>0</v>
      </c>
      <c r="KQ15" s="838">
        <f>[1]Субсидия_факт!BZ13</f>
        <v>0</v>
      </c>
      <c r="KR15" s="516">
        <f>[1]Субсидия_факт!CB13</f>
        <v>0</v>
      </c>
      <c r="KS15" s="466">
        <f t="shared" si="140"/>
        <v>0</v>
      </c>
      <c r="KT15" s="625"/>
      <c r="KU15" s="678"/>
      <c r="KV15" s="625"/>
      <c r="KW15" s="498">
        <f t="shared" si="62"/>
        <v>0</v>
      </c>
      <c r="KX15" s="508">
        <f>[1]Субсидия_факт!GN13</f>
        <v>0</v>
      </c>
      <c r="KY15" s="466">
        <f t="shared" si="63"/>
        <v>0</v>
      </c>
      <c r="KZ15" s="625"/>
      <c r="LA15" s="754">
        <f t="shared" ref="LA15:LA29" si="206">SUM(LB15:LD15)</f>
        <v>0</v>
      </c>
      <c r="LB15" s="516">
        <f>[1]Субсидия_факт!JT13</f>
        <v>0</v>
      </c>
      <c r="LC15" s="838">
        <f>[1]Субсидия_факт!JZ13</f>
        <v>0</v>
      </c>
      <c r="LD15" s="508"/>
      <c r="LE15" s="754">
        <f t="shared" ref="LE15:LE29" si="207">SUM(LF15:LH15)</f>
        <v>0</v>
      </c>
      <c r="LF15" s="772"/>
      <c r="LG15" s="678"/>
      <c r="LH15" s="625"/>
      <c r="LI15" s="754">
        <f t="shared" si="141"/>
        <v>5217692.42</v>
      </c>
      <c r="LJ15" s="516">
        <f>[1]Субсидия_факт!JV13</f>
        <v>0</v>
      </c>
      <c r="LK15" s="838">
        <f>[1]Субсидия_факт!KB13</f>
        <v>0</v>
      </c>
      <c r="LL15" s="518">
        <f>[1]Субсидия_факт!KF13</f>
        <v>5217692.42</v>
      </c>
      <c r="LM15" s="754">
        <f t="shared" si="142"/>
        <v>0</v>
      </c>
      <c r="LN15" s="625"/>
      <c r="LO15" s="771"/>
      <c r="LP15" s="625"/>
      <c r="LQ15" s="756">
        <f t="shared" si="143"/>
        <v>5217692.42</v>
      </c>
      <c r="LR15" s="652">
        <f>'Проверочная  таблица'!LJ15-LZ15</f>
        <v>0</v>
      </c>
      <c r="LS15" s="682">
        <f>'Проверочная  таблица'!LK15-MA15</f>
        <v>0</v>
      </c>
      <c r="LT15" s="622">
        <f>'Проверочная  таблица'!LL15-MB15</f>
        <v>5217692.42</v>
      </c>
      <c r="LU15" s="756">
        <f t="shared" si="144"/>
        <v>0</v>
      </c>
      <c r="LV15" s="750">
        <f>'Проверочная  таблица'!LN15-MD15</f>
        <v>0</v>
      </c>
      <c r="LW15" s="676">
        <f>'Проверочная  таблица'!LO15-ME15</f>
        <v>0</v>
      </c>
      <c r="LX15" s="757">
        <f>'Проверочная  таблица'!LP15-MF15</f>
        <v>0</v>
      </c>
      <c r="LY15" s="756">
        <f t="shared" si="145"/>
        <v>0</v>
      </c>
      <c r="LZ15" s="516">
        <f>[1]Субсидия_факт!JX13</f>
        <v>0</v>
      </c>
      <c r="MA15" s="838">
        <f>[1]Субсидия_факт!KD13</f>
        <v>0</v>
      </c>
      <c r="MB15" s="516">
        <f>[1]Субсидия_факт!KH13</f>
        <v>0</v>
      </c>
      <c r="MC15" s="756">
        <f t="shared" si="146"/>
        <v>0</v>
      </c>
      <c r="MD15" s="750">
        <f t="shared" si="203"/>
        <v>0</v>
      </c>
      <c r="ME15" s="676">
        <f t="shared" si="204"/>
        <v>0</v>
      </c>
      <c r="MF15" s="516"/>
      <c r="MG15" s="521">
        <f t="shared" si="147"/>
        <v>2970603.66</v>
      </c>
      <c r="MH15" s="652">
        <f>[1]Субсидия_факт!KR13</f>
        <v>68989.180000000008</v>
      </c>
      <c r="MI15" s="682">
        <f>[1]Субсидия_факт!KV13</f>
        <v>1310794.48</v>
      </c>
      <c r="MJ15" s="750">
        <f>[1]Субсидия_факт!KZ13</f>
        <v>79541</v>
      </c>
      <c r="MK15" s="1519">
        <f>[1]Субсидия_факт!LD13</f>
        <v>1511279</v>
      </c>
      <c r="ML15" s="521">
        <f t="shared" si="148"/>
        <v>1379783.66</v>
      </c>
      <c r="MM15" s="1609">
        <v>68989.179999999993</v>
      </c>
      <c r="MN15" s="706">
        <v>1310794.48</v>
      </c>
      <c r="MO15" s="342"/>
      <c r="MP15" s="770"/>
      <c r="MQ15" s="587">
        <f t="shared" si="149"/>
        <v>2970603.66</v>
      </c>
      <c r="MR15" s="1613">
        <f t="shared" si="64"/>
        <v>68989.180000000008</v>
      </c>
      <c r="MS15" s="682">
        <f t="shared" si="65"/>
        <v>1310794.48</v>
      </c>
      <c r="MT15" s="487">
        <f t="shared" si="66"/>
        <v>79541</v>
      </c>
      <c r="MU15" s="682">
        <f t="shared" si="67"/>
        <v>1511279</v>
      </c>
      <c r="MV15" s="587">
        <f t="shared" si="150"/>
        <v>1379783.66</v>
      </c>
      <c r="MW15" s="487">
        <f t="shared" si="68"/>
        <v>68989.179999999993</v>
      </c>
      <c r="MX15" s="682">
        <f t="shared" si="69"/>
        <v>1310794.48</v>
      </c>
      <c r="MY15" s="487">
        <f t="shared" si="70"/>
        <v>0</v>
      </c>
      <c r="MZ15" s="682">
        <f t="shared" si="71"/>
        <v>0</v>
      </c>
      <c r="NA15" s="587">
        <f t="shared" si="151"/>
        <v>0</v>
      </c>
      <c r="NB15" s="1079">
        <f>[1]Субсидия_факт!KT13</f>
        <v>0</v>
      </c>
      <c r="NC15" s="682">
        <f>[1]Субсидия_факт!KX13</f>
        <v>0</v>
      </c>
      <c r="ND15" s="625">
        <f>[1]Субсидия_факт!LB13</f>
        <v>0</v>
      </c>
      <c r="NE15" s="709">
        <f>[1]Субсидия_факт!LF13</f>
        <v>0</v>
      </c>
      <c r="NF15" s="587">
        <f t="shared" si="152"/>
        <v>0</v>
      </c>
      <c r="NG15" s="622"/>
      <c r="NH15" s="712"/>
      <c r="NI15" s="342"/>
      <c r="NJ15" s="706"/>
      <c r="NK15" s="498">
        <f t="shared" si="72"/>
        <v>0</v>
      </c>
      <c r="NL15" s="516">
        <f>[1]Субсидия_факт!AB13</f>
        <v>0</v>
      </c>
      <c r="NM15" s="838">
        <f>[1]Субсидия_факт!AD13</f>
        <v>0</v>
      </c>
      <c r="NN15" s="466">
        <f t="shared" si="73"/>
        <v>0</v>
      </c>
      <c r="NO15" s="772"/>
      <c r="NP15" s="987"/>
      <c r="NQ15" s="521">
        <f t="shared" si="153"/>
        <v>0</v>
      </c>
      <c r="NR15" s="506">
        <f>[1]Субсидия_факт!LH13</f>
        <v>0</v>
      </c>
      <c r="NS15" s="866">
        <f>[1]Субсидия_факт!LJ13</f>
        <v>0</v>
      </c>
      <c r="NT15" s="525">
        <f>[1]Субсидия_факт!MN13</f>
        <v>0</v>
      </c>
      <c r="NU15" s="689">
        <f>[1]Субсидия_факт!MP13</f>
        <v>0</v>
      </c>
      <c r="NV15" s="1147">
        <f>[1]Субсидия_факт!MB13</f>
        <v>0</v>
      </c>
      <c r="NW15" s="682">
        <f>[1]Субсидия_факт!MH13</f>
        <v>0</v>
      </c>
      <c r="NX15" s="521">
        <f t="shared" si="154"/>
        <v>0</v>
      </c>
      <c r="NY15" s="474"/>
      <c r="NZ15" s="686"/>
      <c r="OA15" s="474"/>
      <c r="OB15" s="686"/>
      <c r="OC15" s="342"/>
      <c r="OD15" s="1279"/>
      <c r="OE15" s="521">
        <f t="shared" si="155"/>
        <v>0</v>
      </c>
      <c r="OF15" s="652">
        <f>[1]Субсидия_факт!KJ13</f>
        <v>0</v>
      </c>
      <c r="OG15" s="682">
        <f>[1]Субсидия_факт!KN13</f>
        <v>0</v>
      </c>
      <c r="OH15" s="652">
        <f>[1]Субсидия_факт!LL13</f>
        <v>0</v>
      </c>
      <c r="OI15" s="682">
        <f>[1]Субсидия_факт!LP13</f>
        <v>0</v>
      </c>
      <c r="OJ15" s="652">
        <f>[1]Субсидия_факт!MD13</f>
        <v>0</v>
      </c>
      <c r="OK15" s="682">
        <f>[1]Субсидия_факт!MJ13</f>
        <v>0</v>
      </c>
      <c r="OL15" s="521">
        <f t="shared" si="156"/>
        <v>0</v>
      </c>
      <c r="OM15" s="487"/>
      <c r="ON15" s="712"/>
      <c r="OO15" s="474"/>
      <c r="OP15" s="686"/>
      <c r="OQ15" s="487"/>
      <c r="OR15" s="712"/>
      <c r="OS15" s="587">
        <f t="shared" si="157"/>
        <v>0</v>
      </c>
      <c r="OT15" s="1066">
        <f t="shared" si="74"/>
        <v>0</v>
      </c>
      <c r="OU15" s="682">
        <f t="shared" si="75"/>
        <v>0</v>
      </c>
      <c r="OV15" s="1066">
        <f t="shared" si="76"/>
        <v>0</v>
      </c>
      <c r="OW15" s="682">
        <f t="shared" si="77"/>
        <v>0</v>
      </c>
      <c r="OX15" s="1147">
        <f t="shared" si="78"/>
        <v>0</v>
      </c>
      <c r="OY15" s="682">
        <f t="shared" si="79"/>
        <v>0</v>
      </c>
      <c r="OZ15" s="587">
        <f t="shared" si="158"/>
        <v>0</v>
      </c>
      <c r="PA15" s="1066">
        <f t="shared" si="80"/>
        <v>0</v>
      </c>
      <c r="PB15" s="682">
        <f t="shared" si="81"/>
        <v>0</v>
      </c>
      <c r="PC15" s="1079">
        <f t="shared" si="82"/>
        <v>0</v>
      </c>
      <c r="PD15" s="682">
        <f t="shared" si="83"/>
        <v>0</v>
      </c>
      <c r="PE15" s="652">
        <f t="shared" si="84"/>
        <v>0</v>
      </c>
      <c r="PF15" s="682">
        <f t="shared" si="85"/>
        <v>0</v>
      </c>
      <c r="PG15" s="587">
        <f t="shared" si="159"/>
        <v>0</v>
      </c>
      <c r="PH15" s="1079">
        <f>[1]Субсидия_факт!KL13</f>
        <v>0</v>
      </c>
      <c r="PI15" s="682">
        <f>[1]Субсидия_факт!KP13</f>
        <v>0</v>
      </c>
      <c r="PJ15" s="652">
        <f>[1]Субсидия_факт!LN13</f>
        <v>0</v>
      </c>
      <c r="PK15" s="682">
        <f>[1]Субсидия_факт!LR13</f>
        <v>0</v>
      </c>
      <c r="PL15" s="652">
        <f>[1]Субсидия_факт!MF13</f>
        <v>0</v>
      </c>
      <c r="PM15" s="682">
        <f>[1]Субсидия_факт!ML13</f>
        <v>0</v>
      </c>
      <c r="PN15" s="587">
        <f t="shared" si="160"/>
        <v>0</v>
      </c>
      <c r="PO15" s="487"/>
      <c r="PP15" s="712"/>
      <c r="PQ15" s="474"/>
      <c r="PR15" s="686"/>
      <c r="PS15" s="487"/>
      <c r="PT15" s="712"/>
      <c r="PU15" s="466">
        <f t="shared" si="161"/>
        <v>0</v>
      </c>
      <c r="PV15" s="516">
        <f>[1]Субсидия_факт!MR13</f>
        <v>0</v>
      </c>
      <c r="PW15" s="838">
        <f>[1]Субсидия_факт!MX13</f>
        <v>0</v>
      </c>
      <c r="PX15" s="466">
        <f t="shared" si="162"/>
        <v>0</v>
      </c>
      <c r="PY15" s="724"/>
      <c r="PZ15" s="678"/>
      <c r="QA15" s="579">
        <f t="shared" si="163"/>
        <v>0</v>
      </c>
      <c r="QB15" s="516">
        <f>[1]Субсидия_факт!MT13</f>
        <v>0</v>
      </c>
      <c r="QC15" s="838">
        <f>[1]Субсидия_факт!MZ13</f>
        <v>0</v>
      </c>
      <c r="QD15" s="466">
        <f t="shared" si="164"/>
        <v>0</v>
      </c>
      <c r="QE15" s="724"/>
      <c r="QF15" s="987"/>
      <c r="QG15" s="669">
        <f t="shared" si="165"/>
        <v>0</v>
      </c>
      <c r="QH15" s="516">
        <f t="shared" si="166"/>
        <v>0</v>
      </c>
      <c r="QI15" s="838">
        <f t="shared" si="167"/>
        <v>0</v>
      </c>
      <c r="QJ15" s="669">
        <f t="shared" si="168"/>
        <v>0</v>
      </c>
      <c r="QK15" s="516">
        <f t="shared" si="169"/>
        <v>0</v>
      </c>
      <c r="QL15" s="838">
        <f t="shared" si="170"/>
        <v>0</v>
      </c>
      <c r="QM15" s="669">
        <f t="shared" si="171"/>
        <v>0</v>
      </c>
      <c r="QN15" s="516">
        <f>[1]Субсидия_факт!MV13</f>
        <v>0</v>
      </c>
      <c r="QO15" s="838">
        <f>[1]Субсидия_факт!NB13</f>
        <v>0</v>
      </c>
      <c r="QP15" s="669">
        <f t="shared" si="172"/>
        <v>0</v>
      </c>
      <c r="QQ15" s="516">
        <f>[1]Субсидия_факт!NI13</f>
        <v>0</v>
      </c>
      <c r="QR15" s="752">
        <f>[1]Субсидия_факт!NO13</f>
        <v>0</v>
      </c>
      <c r="QS15" s="521">
        <f>'Прочая  субсидия_МР  и  ГО'!B11</f>
        <v>12892842.439999999</v>
      </c>
      <c r="QT15" s="521">
        <f>'Прочая  субсидия_МР  и  ГО'!C11</f>
        <v>7569775.5799999991</v>
      </c>
      <c r="QU15" s="524">
        <f>'Прочая  субсидия_БП'!B11</f>
        <v>2748796.4699999997</v>
      </c>
      <c r="QV15" s="526">
        <f>'Прочая  субсидия_БП'!C11</f>
        <v>403111.01</v>
      </c>
      <c r="QW15" s="583">
        <f>'Прочая  субсидия_БП'!D11</f>
        <v>2748796.4699999997</v>
      </c>
      <c r="QX15" s="582">
        <f>'Прочая  субсидия_БП'!E11</f>
        <v>403111.01</v>
      </c>
      <c r="QY15" s="588">
        <f>'Прочая  субсидия_БП'!F11</f>
        <v>0</v>
      </c>
      <c r="QZ15" s="583">
        <f>'Прочая  субсидия_БП'!G11</f>
        <v>0</v>
      </c>
      <c r="RA15" s="526">
        <f t="shared" si="173"/>
        <v>370108689.30000001</v>
      </c>
      <c r="RB15" s="525">
        <f>'Проверочная  таблица'!SF15+'Проверочная  таблица'!RG15+'Проверочная  таблица'!RI15+'Проверочная  таблица'!RK15+RX15</f>
        <v>358484482.86000001</v>
      </c>
      <c r="RC15" s="508">
        <f>'Проверочная  таблица'!SG15+'Проверочная  таблица'!RM15+'Проверочная  таблица'!RS15+'Проверочная  таблица'!RO15+'Проверочная  таблица'!RQ15+RU15+RY15+SC15</f>
        <v>11624206.439999999</v>
      </c>
      <c r="RD15" s="521">
        <f t="shared" si="174"/>
        <v>284290727.29000002</v>
      </c>
      <c r="RE15" s="506">
        <f>'Проверочная  таблица'!SI15+'Проверочная  таблица'!RH15+'Проверочная  таблица'!RJ15+'Проверочная  таблица'!RL15+SA15</f>
        <v>278154507.72000003</v>
      </c>
      <c r="RF15" s="508">
        <f>'Проверочная  таблица'!SJ15+'Проверочная  таблица'!RN15+'Проверочная  таблица'!RT15+'Проверочная  таблица'!RP15+'Проверочная  таблица'!RR15+RV15+SB15+SD15</f>
        <v>6136219.5700000003</v>
      </c>
      <c r="RG15" s="579">
        <f>'Субвенция  на  полномочия'!B11</f>
        <v>342630844.93000001</v>
      </c>
      <c r="RH15" s="466">
        <f>'Субвенция  на  полномочия'!C11</f>
        <v>267232518.09999999</v>
      </c>
      <c r="RI15" s="733">
        <f>[1]Субвенция_факт!Q12*1000</f>
        <v>10159640</v>
      </c>
      <c r="RJ15" s="736">
        <v>7350000</v>
      </c>
      <c r="RK15" s="733">
        <f>[1]Субвенция_факт!J12*1000</f>
        <v>1892636</v>
      </c>
      <c r="RL15" s="736">
        <v>1500000</v>
      </c>
      <c r="RM15" s="733">
        <f>[1]Субвенция_факт!AE12*1000</f>
        <v>2114900</v>
      </c>
      <c r="RN15" s="736">
        <v>1565175</v>
      </c>
      <c r="RO15" s="733">
        <f>[1]Субвенция_факт!AF12*1000</f>
        <v>0</v>
      </c>
      <c r="RP15" s="736">
        <v>0</v>
      </c>
      <c r="RQ15" s="733">
        <f>[1]Субвенция_факт!E12*1000</f>
        <v>0</v>
      </c>
      <c r="RR15" s="736"/>
      <c r="RS15" s="733">
        <f>[1]Субвенция_факт!F12*1000</f>
        <v>0</v>
      </c>
      <c r="RT15" s="827"/>
      <c r="RU15" s="170">
        <f>[1]Субвенция_факт!G12*1000</f>
        <v>0</v>
      </c>
      <c r="RV15" s="1109"/>
      <c r="RW15" s="521">
        <f t="shared" si="88"/>
        <v>10686381.880000001</v>
      </c>
      <c r="RX15" s="622">
        <f>[1]Субвенция_факт!N12*1000</f>
        <v>2992186.93</v>
      </c>
      <c r="RY15" s="682">
        <f>[1]Субвенция_факт!O12*1000</f>
        <v>7694194.9500000002</v>
      </c>
      <c r="RZ15" s="521">
        <f t="shared" si="89"/>
        <v>4964962.96</v>
      </c>
      <c r="SA15" s="773">
        <v>1390189.62</v>
      </c>
      <c r="SB15" s="1279">
        <v>3574773.34</v>
      </c>
      <c r="SC15" s="170">
        <f>[1]Субвенция_факт!AG12*1000</f>
        <v>515111.49</v>
      </c>
      <c r="SD15" s="1277"/>
      <c r="SE15" s="498">
        <f t="shared" si="175"/>
        <v>2109175</v>
      </c>
      <c r="SF15" s="833">
        <f>[1]Субвенция_факт!AD12*1000</f>
        <v>809175.00000000023</v>
      </c>
      <c r="SG15" s="1562">
        <f>[1]Субвенция_факт!AC12*1000</f>
        <v>1300000</v>
      </c>
      <c r="SH15" s="521">
        <f t="shared" si="176"/>
        <v>1678071.23</v>
      </c>
      <c r="SI15" s="1557">
        <v>681800</v>
      </c>
      <c r="SJ15" s="1635">
        <v>996271.23</v>
      </c>
      <c r="SK15" s="280">
        <f>'Проверочная  таблица'!VC15+'Проверочная  таблица'!UO15+'Проверочная  таблица'!SY15+'Проверочная  таблица'!TC15+UA15+UG15+TK15+TQ15+SM15+SS15</f>
        <v>27783195.539999999</v>
      </c>
      <c r="SL15" s="170">
        <f>'Проверочная  таблица'!VF15+'Проверочная  таблица'!UV15+'Проверочная  таблица'!TA15+'Проверочная  таблица'!TE15+UD15+UK15+TN15+TT15+SP15+SV15</f>
        <v>19976328.239999998</v>
      </c>
      <c r="SM15" s="524">
        <f t="shared" si="92"/>
        <v>14530320</v>
      </c>
      <c r="SN15" s="833">
        <f>'[1]Иные межбюджетные трансферты'!I13</f>
        <v>0</v>
      </c>
      <c r="SO15" s="880">
        <f>'[1]Иные межбюджетные трансферты'!K13</f>
        <v>14530320</v>
      </c>
      <c r="SP15" s="521">
        <f t="shared" si="93"/>
        <v>9374822.6999999993</v>
      </c>
      <c r="SQ15" s="1421"/>
      <c r="SR15" s="1422">
        <v>9374822.6999999993</v>
      </c>
      <c r="SS15" s="521">
        <f t="shared" si="177"/>
        <v>0</v>
      </c>
      <c r="ST15" s="1082">
        <f>'[1]Иные межбюджетные трансферты'!Y13</f>
        <v>0</v>
      </c>
      <c r="SU15" s="1630">
        <f>'[1]Иные межбюджетные трансферты'!AE13</f>
        <v>0</v>
      </c>
      <c r="SV15" s="521">
        <f t="shared" si="178"/>
        <v>0</v>
      </c>
      <c r="SW15" s="906"/>
      <c r="SX15" s="1422"/>
      <c r="SY15" s="1254">
        <f t="shared" si="94"/>
        <v>0</v>
      </c>
      <c r="SZ15" s="1009">
        <f>'[1]Иные межбюджетные трансферты'!AG13</f>
        <v>0</v>
      </c>
      <c r="TA15" s="899">
        <f t="shared" si="95"/>
        <v>0</v>
      </c>
      <c r="TB15" s="1422"/>
      <c r="TC15" s="903">
        <f t="shared" si="96"/>
        <v>0</v>
      </c>
      <c r="TD15" s="1009">
        <f>'[1]Иные межбюджетные трансферты'!AI13</f>
        <v>0</v>
      </c>
      <c r="TE15" s="899">
        <f t="shared" si="97"/>
        <v>0</v>
      </c>
      <c r="TF15" s="1082"/>
      <c r="TG15" s="901">
        <f t="shared" si="98"/>
        <v>0</v>
      </c>
      <c r="TH15" s="897">
        <f t="shared" si="99"/>
        <v>0</v>
      </c>
      <c r="TI15" s="1086">
        <f t="shared" si="179"/>
        <v>0</v>
      </c>
      <c r="TJ15" s="897">
        <f t="shared" si="180"/>
        <v>0</v>
      </c>
      <c r="TK15" s="903">
        <f t="shared" si="181"/>
        <v>0</v>
      </c>
      <c r="TL15" s="1079"/>
      <c r="TM15" s="682"/>
      <c r="TN15" s="903">
        <f t="shared" si="182"/>
        <v>0</v>
      </c>
      <c r="TO15" s="773"/>
      <c r="TP15" s="686"/>
      <c r="TQ15" s="903">
        <f t="shared" si="183"/>
        <v>0</v>
      </c>
      <c r="TR15" s="1079">
        <f>'[1]Иные межбюджетные трансферты'!AQ13</f>
        <v>0</v>
      </c>
      <c r="TS15" s="682">
        <f>'[1]Иные межбюджетные трансферты'!AU13</f>
        <v>0</v>
      </c>
      <c r="TT15" s="899">
        <f t="shared" si="184"/>
        <v>0</v>
      </c>
      <c r="TU15" s="753"/>
      <c r="TV15" s="771"/>
      <c r="TW15" s="820">
        <f t="shared" si="185"/>
        <v>0</v>
      </c>
      <c r="TX15" s="820">
        <f t="shared" si="186"/>
        <v>0</v>
      </c>
      <c r="TY15" s="820">
        <f t="shared" si="187"/>
        <v>0</v>
      </c>
      <c r="TZ15" s="1199">
        <f t="shared" si="188"/>
        <v>0</v>
      </c>
      <c r="UA15" s="1134">
        <f t="shared" si="100"/>
        <v>0</v>
      </c>
      <c r="UB15" s="945">
        <f>'[1]Иные межбюджетные трансферты'!U13</f>
        <v>0</v>
      </c>
      <c r="UC15" s="1133">
        <f>'[1]Иные межбюджетные трансферты'!W13</f>
        <v>0</v>
      </c>
      <c r="UD15" s="734">
        <f t="shared" si="101"/>
        <v>0</v>
      </c>
      <c r="UE15" s="945"/>
      <c r="UF15" s="1133"/>
      <c r="UG15" s="734">
        <f t="shared" si="189"/>
        <v>5000000</v>
      </c>
      <c r="UH15" s="945">
        <f>'[1]Иные межбюджетные трансферты'!O13</f>
        <v>0</v>
      </c>
      <c r="UI15" s="1133">
        <f>'[1]Иные межбюджетные трансферты'!Q13</f>
        <v>5000000</v>
      </c>
      <c r="UJ15" s="1133">
        <f>'[1]Иные межбюджетные трансферты'!S13</f>
        <v>0</v>
      </c>
      <c r="UK15" s="734">
        <f t="shared" si="190"/>
        <v>5000000</v>
      </c>
      <c r="UL15" s="1513"/>
      <c r="UM15" s="1533">
        <f>UI15</f>
        <v>5000000</v>
      </c>
      <c r="UN15" s="1625"/>
      <c r="UO15" s="1585">
        <f t="shared" si="191"/>
        <v>3750171.94</v>
      </c>
      <c r="UP15" s="833">
        <f>'[1]Иные межбюджетные трансферты'!E13</f>
        <v>0</v>
      </c>
      <c r="UQ15" s="880">
        <f>'[1]Иные межбюджетные трансферты'!G13</f>
        <v>0</v>
      </c>
      <c r="UR15" s="830">
        <f>'[1]Иные межбюджетные трансферты'!M13</f>
        <v>2651370</v>
      </c>
      <c r="US15" s="1044"/>
      <c r="UT15" s="1498">
        <f>'[1]Иные межбюджетные трансферты'!AY13</f>
        <v>0</v>
      </c>
      <c r="UU15" s="1539">
        <f>'[1]Иные межбюджетные трансферты'!BA13</f>
        <v>1098801.94</v>
      </c>
      <c r="UV15" s="834">
        <f t="shared" si="192"/>
        <v>1098801.94</v>
      </c>
      <c r="UW15" s="908"/>
      <c r="UX15" s="906"/>
      <c r="UY15" s="1425">
        <v>0</v>
      </c>
      <c r="UZ15" s="516"/>
      <c r="VA15" s="518">
        <f t="shared" si="102"/>
        <v>0</v>
      </c>
      <c r="VB15" s="516">
        <f t="shared" si="193"/>
        <v>1098801.94</v>
      </c>
      <c r="VC15" s="899">
        <f t="shared" si="194"/>
        <v>4502703.5999999996</v>
      </c>
      <c r="VD15" s="830">
        <f>'[1]Иные межбюджетные трансферты'!AM13</f>
        <v>0</v>
      </c>
      <c r="VE15" s="1587">
        <f>'[1]Иные межбюджетные трансферты'!BC13</f>
        <v>4502703.5999999996</v>
      </c>
      <c r="VF15" s="1495">
        <f t="shared" si="195"/>
        <v>4502703.5999999996</v>
      </c>
      <c r="VG15" s="753"/>
      <c r="VH15" s="1251">
        <f t="shared" si="196"/>
        <v>4502703.5999999996</v>
      </c>
      <c r="VI15" s="1199">
        <f t="shared" si="197"/>
        <v>4502703.5999999996</v>
      </c>
      <c r="VJ15" s="516">
        <f>'Проверочная  таблица'!VD15-VP15</f>
        <v>0</v>
      </c>
      <c r="VK15" s="516">
        <f>'Проверочная  таблица'!VE15-VQ15</f>
        <v>4502703.5999999996</v>
      </c>
      <c r="VL15" s="1199">
        <f t="shared" si="198"/>
        <v>4502703.5999999996</v>
      </c>
      <c r="VM15" s="516">
        <f>'Проверочная  таблица'!VG15-VS15</f>
        <v>0</v>
      </c>
      <c r="VN15" s="516">
        <f>'Проверочная  таблица'!VH15-VT15</f>
        <v>4502703.5999999996</v>
      </c>
      <c r="VO15" s="1199">
        <f t="shared" si="199"/>
        <v>0</v>
      </c>
      <c r="VP15" s="833">
        <f>'[1]Иные межбюджетные трансферты'!AO13</f>
        <v>0</v>
      </c>
      <c r="VQ15" s="830">
        <f>'[1]Иные межбюджетные трансферты'!BE13</f>
        <v>0</v>
      </c>
      <c r="VR15" s="1501">
        <f t="shared" si="200"/>
        <v>0</v>
      </c>
      <c r="VS15" s="1492"/>
      <c r="VT15" s="518">
        <f t="shared" si="201"/>
        <v>0</v>
      </c>
      <c r="VU15" s="521">
        <f>VW15+'Проверочная  таблица'!WE15+WA15+'Проверочная  таблица'!WI15+WC15+'Проверочная  таблица'!WK15</f>
        <v>-260000</v>
      </c>
      <c r="VV15" s="521">
        <f>VX15+'Проверочная  таблица'!WF15+WB15+'Проверочная  таблица'!WJ15+WD15+'Проверочная  таблица'!WL15</f>
        <v>-260000</v>
      </c>
      <c r="VW15" s="533"/>
      <c r="VX15" s="533"/>
      <c r="VY15" s="533"/>
      <c r="VZ15" s="533"/>
      <c r="WA15" s="530">
        <f t="shared" si="103"/>
        <v>0</v>
      </c>
      <c r="WB15" s="528">
        <f t="shared" si="104"/>
        <v>0</v>
      </c>
      <c r="WC15" s="534"/>
      <c r="WD15" s="523"/>
      <c r="WE15" s="533"/>
      <c r="WF15" s="533"/>
      <c r="WG15" s="533">
        <v>-260000</v>
      </c>
      <c r="WH15" s="533">
        <v>-260000</v>
      </c>
      <c r="WI15" s="530">
        <f t="shared" si="105"/>
        <v>-260000</v>
      </c>
      <c r="WJ15" s="528">
        <f t="shared" si="106"/>
        <v>-260000</v>
      </c>
      <c r="WK15" s="523"/>
      <c r="WL15" s="523"/>
      <c r="WM15" s="252">
        <f>'Проверочная  таблица'!WE15+'Проверочная  таблица'!WG15</f>
        <v>-260000</v>
      </c>
      <c r="WN15" s="252">
        <f>'Проверочная  таблица'!WF15+'Проверочная  таблица'!WH15</f>
        <v>-260000</v>
      </c>
      <c r="WO15" s="1042"/>
    </row>
    <row r="16" spans="1:613" s="338" customFormat="1" ht="25.5" customHeight="1" x14ac:dyDescent="0.25">
      <c r="A16" s="348" t="s">
        <v>83</v>
      </c>
      <c r="B16" s="526">
        <f>D16+AI16+'Проверочная  таблица'!RA16+'Проверочная  таблица'!SK16</f>
        <v>1040458118.12</v>
      </c>
      <c r="C16" s="521">
        <f>E16+'Проверочная  таблица'!RD16+AJ16+'Проверочная  таблица'!SL16</f>
        <v>760382494.0999999</v>
      </c>
      <c r="D16" s="524">
        <f t="shared" si="0"/>
        <v>324720774</v>
      </c>
      <c r="E16" s="526">
        <f t="shared" si="1"/>
        <v>293416221</v>
      </c>
      <c r="F16" s="581">
        <f>'[1]Дотация  из  ОБ_факт'!M12</f>
        <v>60187600</v>
      </c>
      <c r="G16" s="963">
        <v>46162532</v>
      </c>
      <c r="H16" s="581">
        <f>'[1]Дотация  из  ОБ_факт'!G12</f>
        <v>24095000</v>
      </c>
      <c r="I16" s="963">
        <v>18071250</v>
      </c>
      <c r="J16" s="582">
        <f t="shared" si="2"/>
        <v>24095000</v>
      </c>
      <c r="K16" s="588">
        <f t="shared" si="3"/>
        <v>18071250</v>
      </c>
      <c r="L16" s="835">
        <f>'[1]Дотация  из  ОБ_факт'!K12</f>
        <v>0</v>
      </c>
      <c r="M16" s="1446"/>
      <c r="N16" s="581">
        <f>'[1]Дотация  из  ОБ_факт'!Q12</f>
        <v>155480990.00000003</v>
      </c>
      <c r="O16" s="963">
        <v>154656390</v>
      </c>
      <c r="P16" s="581">
        <f>'[1]Дотация  из  ОБ_факт'!S12</f>
        <v>81830563.000000015</v>
      </c>
      <c r="Q16" s="1442">
        <v>71399428</v>
      </c>
      <c r="R16" s="588">
        <f t="shared" si="4"/>
        <v>81830563.000000015</v>
      </c>
      <c r="S16" s="583">
        <f t="shared" si="5"/>
        <v>71399428</v>
      </c>
      <c r="T16" s="835">
        <f>'[1]Дотация  из  ОБ_факт'!W12</f>
        <v>0</v>
      </c>
      <c r="U16" s="1448"/>
      <c r="V16" s="581">
        <f>'[1]Дотация  из  ОБ_факт'!AA12+'[1]Дотация  из  ОБ_факт'!AC12+'[1]Дотация  из  ОБ_факт'!AG12</f>
        <v>1928121</v>
      </c>
      <c r="W16" s="461">
        <f t="shared" si="6"/>
        <v>1928121</v>
      </c>
      <c r="X16" s="585"/>
      <c r="Y16" s="584"/>
      <c r="Z16" s="585">
        <v>1928121</v>
      </c>
      <c r="AA16" s="581">
        <f>'[1]Дотация  из  ОБ_факт'!Y12+'[1]Дотация  из  ОБ_факт'!AE12</f>
        <v>1198500</v>
      </c>
      <c r="AB16" s="172">
        <f t="shared" si="7"/>
        <v>1198500</v>
      </c>
      <c r="AC16" s="584">
        <v>1198500</v>
      </c>
      <c r="AD16" s="585"/>
      <c r="AE16" s="582">
        <f t="shared" si="8"/>
        <v>1198500</v>
      </c>
      <c r="AF16" s="588">
        <f t="shared" si="9"/>
        <v>1198500</v>
      </c>
      <c r="AG16" s="1187">
        <f>'[1]Дотация  из  ОБ_факт'!AE12</f>
        <v>0</v>
      </c>
      <c r="AH16" s="1480">
        <f t="shared" si="107"/>
        <v>0</v>
      </c>
      <c r="AI16" s="579">
        <f>'Проверочная  таблица'!KW16+'Проверочная  таблица'!QS16+'Проверочная  таблица'!QU16+CS16+CU16+DA16+DC16+BU16+CE16+'Проверочная  таблица'!IQ16+'Проверочная  таблица'!JK16+'Проверочная  таблица'!EE16+'Проверочная  таблица'!KO16+DQ16+'Проверочная  таблица'!HQ16+'Проверочная  таблица'!HW16+'Проверочная  таблица'!LA16+'Проверочная  таблица'!LI16+HK16+FQ16+FE16+NK16+EY16+AK16+AW16+FK16+GM16+GS16+DI16+NQ16+FW16+EK16+OE16+MG16+GG16+PU16+QA16</f>
        <v>309814234.17999995</v>
      </c>
      <c r="AJ16" s="498">
        <f>'Проверочная  таблица'!KY16+'Проверочная  таблица'!QT16+'Проверочная  таблица'!QV16+CT16+CV16+DB16+DD16+BZ16+CJ16+'Проверочная  таблица'!JA16+'Проверочная  таблица'!JP16+'Проверочная  таблица'!EH16+'Проверочная  таблица'!KS16+DX16+'Проверочная  таблица'!HT16+'Проверочная  таблица'!HZ16+'Проверочная  таблица'!LE16+'Проверочная  таблица'!LM16+HN16+FN16+FT16+FH16+NN16+FB16+AQ16+BA16+GP16+GV16+DM16+NX16+FZ16+ER16+OL16+ML16+GJ16+PX16+QD16</f>
        <v>177565675.90000001</v>
      </c>
      <c r="AK16" s="466">
        <f t="shared" si="108"/>
        <v>0</v>
      </c>
      <c r="AL16" s="525">
        <f>[1]Субсидия_факт!CD14</f>
        <v>0</v>
      </c>
      <c r="AM16" s="508">
        <f>[1]Субсидия_факт!EX14</f>
        <v>0</v>
      </c>
      <c r="AN16" s="506">
        <f>[1]Субсидия_факт!FJ14</f>
        <v>0</v>
      </c>
      <c r="AO16" s="525">
        <f>[1]Субсидия_факт!LT14</f>
        <v>0</v>
      </c>
      <c r="AP16" s="622">
        <f>[1]Субсидия_факт!LZ14</f>
        <v>0</v>
      </c>
      <c r="AQ16" s="748">
        <f t="shared" si="109"/>
        <v>0</v>
      </c>
      <c r="AR16" s="474"/>
      <c r="AS16" s="474"/>
      <c r="AT16" s="474"/>
      <c r="AU16" s="474"/>
      <c r="AV16" s="531"/>
      <c r="AW16" s="498">
        <f t="shared" si="10"/>
        <v>0</v>
      </c>
      <c r="AX16" s="525">
        <f>[1]Субсидия_факт!CF14</f>
        <v>0</v>
      </c>
      <c r="AY16" s="508">
        <f>[1]Субсидия_факт!FB14</f>
        <v>0</v>
      </c>
      <c r="AZ16" s="646">
        <f>[1]Субсидия_факт!LV14</f>
        <v>0</v>
      </c>
      <c r="BA16" s="466">
        <f t="shared" si="11"/>
        <v>0</v>
      </c>
      <c r="BB16" s="531"/>
      <c r="BC16" s="531"/>
      <c r="BD16" s="532"/>
      <c r="BE16" s="669">
        <f t="shared" si="12"/>
        <v>0</v>
      </c>
      <c r="BF16" s="652">
        <f t="shared" si="13"/>
        <v>0</v>
      </c>
      <c r="BG16" s="464">
        <f t="shared" si="14"/>
        <v>0</v>
      </c>
      <c r="BH16" s="341">
        <f t="shared" si="15"/>
        <v>0</v>
      </c>
      <c r="BI16" s="669">
        <f t="shared" si="16"/>
        <v>0</v>
      </c>
      <c r="BJ16" s="622">
        <f t="shared" si="17"/>
        <v>0</v>
      </c>
      <c r="BK16" s="506">
        <f t="shared" si="18"/>
        <v>0</v>
      </c>
      <c r="BL16" s="341">
        <f t="shared" si="19"/>
        <v>0</v>
      </c>
      <c r="BM16" s="667">
        <f t="shared" si="20"/>
        <v>0</v>
      </c>
      <c r="BN16" s="525">
        <f>[1]Субсидия_факт!CH14</f>
        <v>0</v>
      </c>
      <c r="BO16" s="508">
        <f>[1]Субсидия_факт!FD14</f>
        <v>0</v>
      </c>
      <c r="BP16" s="646">
        <f>[1]Субсидия_факт!LX14</f>
        <v>0</v>
      </c>
      <c r="BQ16" s="669">
        <f t="shared" si="21"/>
        <v>0</v>
      </c>
      <c r="BR16" s="532"/>
      <c r="BS16" s="531"/>
      <c r="BT16" s="532"/>
      <c r="BU16" s="521">
        <f t="shared" si="110"/>
        <v>31790901.57</v>
      </c>
      <c r="BV16" s="562">
        <f>[1]Субсидия_факт!HB14</f>
        <v>0</v>
      </c>
      <c r="BW16" s="516">
        <f>[1]Субсидия_факт!HH14</f>
        <v>31790901.57</v>
      </c>
      <c r="BX16" s="531">
        <f>[1]Субсидия_факт!HP14</f>
        <v>0</v>
      </c>
      <c r="BY16" s="562">
        <f>[1]Субсидия_факт!HV14</f>
        <v>0</v>
      </c>
      <c r="BZ16" s="521">
        <f t="shared" si="111"/>
        <v>24584442.890000001</v>
      </c>
      <c r="CA16" s="531"/>
      <c r="CB16" s="531">
        <v>24584442.890000001</v>
      </c>
      <c r="CC16" s="625"/>
      <c r="CD16" s="625"/>
      <c r="CE16" s="526">
        <f t="shared" si="112"/>
        <v>0</v>
      </c>
      <c r="CF16" s="525">
        <f>[1]Субсидия_факт!HD14</f>
        <v>0</v>
      </c>
      <c r="CG16" s="525">
        <f>[1]Субсидия_факт!HJ14</f>
        <v>0</v>
      </c>
      <c r="CH16" s="531">
        <f>[1]Субсидия_факт!HR14</f>
        <v>0</v>
      </c>
      <c r="CI16" s="646">
        <f>[1]Субсидия_факт!HX14</f>
        <v>0</v>
      </c>
      <c r="CJ16" s="521">
        <f t="shared" si="113"/>
        <v>0</v>
      </c>
      <c r="CK16" s="531"/>
      <c r="CL16" s="532"/>
      <c r="CM16" s="625"/>
      <c r="CN16" s="724"/>
      <c r="CO16" s="530">
        <f t="shared" si="22"/>
        <v>0</v>
      </c>
      <c r="CP16" s="528">
        <f t="shared" si="23"/>
        <v>0</v>
      </c>
      <c r="CQ16" s="527">
        <f t="shared" si="114"/>
        <v>0</v>
      </c>
      <c r="CR16" s="530">
        <f t="shared" si="115"/>
        <v>0</v>
      </c>
      <c r="CS16" s="521">
        <f>[1]Субсидия_факт!FL14</f>
        <v>0</v>
      </c>
      <c r="CT16" s="620"/>
      <c r="CU16" s="521">
        <f>[1]Субсидия_факт!FN14</f>
        <v>0</v>
      </c>
      <c r="CV16" s="620"/>
      <c r="CW16" s="528">
        <f t="shared" si="24"/>
        <v>0</v>
      </c>
      <c r="CX16" s="527">
        <f t="shared" si="25"/>
        <v>0</v>
      </c>
      <c r="CY16" s="587">
        <f>[1]Субсидия_факт!FP14</f>
        <v>0</v>
      </c>
      <c r="CZ16" s="1480">
        <f t="shared" si="205"/>
        <v>0</v>
      </c>
      <c r="DA16" s="526">
        <f>[1]Субсидия_факт!FR14</f>
        <v>0</v>
      </c>
      <c r="DB16" s="339"/>
      <c r="DC16" s="524">
        <f>[1]Субсидия_факт!FT14</f>
        <v>0</v>
      </c>
      <c r="DD16" s="339"/>
      <c r="DE16" s="1238">
        <f t="shared" si="26"/>
        <v>0</v>
      </c>
      <c r="DF16" s="528">
        <f t="shared" si="27"/>
        <v>0</v>
      </c>
      <c r="DG16" s="663">
        <f>[1]Субсидия_факт!FV14</f>
        <v>0</v>
      </c>
      <c r="DH16" s="1478">
        <f t="shared" si="116"/>
        <v>0</v>
      </c>
      <c r="DI16" s="498">
        <f t="shared" si="117"/>
        <v>0</v>
      </c>
      <c r="DJ16" s="625">
        <f>[1]Субсидия_факт!EV14</f>
        <v>0</v>
      </c>
      <c r="DK16" s="516">
        <f>[1]Субсидия_факт!EL14</f>
        <v>0</v>
      </c>
      <c r="DL16" s="838">
        <f>[1]Субсидия_факт!EN14</f>
        <v>0</v>
      </c>
      <c r="DM16" s="466">
        <f t="shared" si="118"/>
        <v>0</v>
      </c>
      <c r="DN16" s="625"/>
      <c r="DO16" s="625"/>
      <c r="DP16" s="987"/>
      <c r="DQ16" s="526">
        <f t="shared" si="28"/>
        <v>0</v>
      </c>
      <c r="DR16" s="508">
        <f>[1]Субсидия_факт!N14</f>
        <v>0</v>
      </c>
      <c r="DS16" s="652">
        <f>[1]Субсидия_факт!P14</f>
        <v>0</v>
      </c>
      <c r="DT16" s="682">
        <f>[1]Субсидия_факт!R14</f>
        <v>0</v>
      </c>
      <c r="DU16" s="506">
        <f>[1]Субсидия_факт!T14</f>
        <v>0</v>
      </c>
      <c r="DV16" s="689">
        <f>[1]Субсидия_факт!V14</f>
        <v>0</v>
      </c>
      <c r="DW16" s="506">
        <f>[1]Субсидия_факт!X14</f>
        <v>0</v>
      </c>
      <c r="DX16" s="521">
        <f t="shared" si="29"/>
        <v>0</v>
      </c>
      <c r="DY16" s="532"/>
      <c r="DZ16" s="531"/>
      <c r="EA16" s="686"/>
      <c r="EB16" s="531"/>
      <c r="EC16" s="686"/>
      <c r="ED16" s="531"/>
      <c r="EE16" s="498">
        <f t="shared" si="30"/>
        <v>0</v>
      </c>
      <c r="EF16" s="516">
        <f>[1]Субсидия_факт!BL14</f>
        <v>0</v>
      </c>
      <c r="EG16" s="838">
        <f>[1]Субсидия_факт!BN14</f>
        <v>0</v>
      </c>
      <c r="EH16" s="466">
        <f t="shared" si="31"/>
        <v>0</v>
      </c>
      <c r="EI16" s="772"/>
      <c r="EJ16" s="987"/>
      <c r="EK16" s="526">
        <f t="shared" si="32"/>
        <v>0</v>
      </c>
      <c r="EL16" s="525">
        <f>[1]Субсидия_факт!AF14</f>
        <v>0</v>
      </c>
      <c r="EM16" s="689">
        <f>[1]Субсидия_факт!AH14</f>
        <v>0</v>
      </c>
      <c r="EN16" s="506">
        <f>[1]Субсидия_факт!AJ14</f>
        <v>0</v>
      </c>
      <c r="EO16" s="866">
        <f>[1]Субсидия_факт!AL14</f>
        <v>0</v>
      </c>
      <c r="EP16" s="622">
        <f>[1]Субсидия_факт!AN14</f>
        <v>0</v>
      </c>
      <c r="EQ16" s="712">
        <f>[1]Субсидия_факт!AP14</f>
        <v>0</v>
      </c>
      <c r="ER16" s="521">
        <f t="shared" si="33"/>
        <v>0</v>
      </c>
      <c r="ES16" s="474"/>
      <c r="ET16" s="686"/>
      <c r="EU16" s="474"/>
      <c r="EV16" s="686"/>
      <c r="EW16" s="474"/>
      <c r="EX16" s="686"/>
      <c r="EY16" s="498">
        <f t="shared" si="34"/>
        <v>0</v>
      </c>
      <c r="EZ16" s="516">
        <f>[1]Субсидия_факт!AV14</f>
        <v>0</v>
      </c>
      <c r="FA16" s="752">
        <f>[1]Субсидия_факт!AX14</f>
        <v>0</v>
      </c>
      <c r="FB16" s="466">
        <f t="shared" si="35"/>
        <v>0</v>
      </c>
      <c r="FC16" s="772"/>
      <c r="FD16" s="678"/>
      <c r="FE16" s="498">
        <f t="shared" si="36"/>
        <v>0</v>
      </c>
      <c r="FF16" s="516">
        <f>[1]Субсидия_факт!BT14</f>
        <v>0</v>
      </c>
      <c r="FG16" s="838">
        <f>[1]Субсидия_факт!BV14</f>
        <v>0</v>
      </c>
      <c r="FH16" s="466">
        <f t="shared" si="37"/>
        <v>0</v>
      </c>
      <c r="FI16" s="772"/>
      <c r="FJ16" s="678"/>
      <c r="FK16" s="498">
        <f t="shared" si="38"/>
        <v>0</v>
      </c>
      <c r="FL16" s="516">
        <f>[1]Субсидия_факт!BP14</f>
        <v>0</v>
      </c>
      <c r="FM16" s="838">
        <f>[1]Субсидия_факт!BR14</f>
        <v>0</v>
      </c>
      <c r="FN16" s="466">
        <f t="shared" si="39"/>
        <v>0</v>
      </c>
      <c r="FO16" s="772"/>
      <c r="FP16" s="678"/>
      <c r="FQ16" s="498">
        <f t="shared" si="40"/>
        <v>0</v>
      </c>
      <c r="FR16" s="516">
        <f>[1]Субсидия_факт!IV14</f>
        <v>0</v>
      </c>
      <c r="FS16" s="838">
        <f>[1]Субсидия_факт!IX14</f>
        <v>0</v>
      </c>
      <c r="FT16" s="466">
        <f t="shared" si="41"/>
        <v>0</v>
      </c>
      <c r="FU16" s="772"/>
      <c r="FV16" s="678"/>
      <c r="FW16" s="498">
        <f t="shared" si="42"/>
        <v>0</v>
      </c>
      <c r="FX16" s="516">
        <f>[1]Субсидия_факт!IZ14</f>
        <v>0</v>
      </c>
      <c r="FY16" s="838">
        <f>[1]Субсидия_факт!JD14</f>
        <v>0</v>
      </c>
      <c r="FZ16" s="466">
        <f t="shared" si="43"/>
        <v>0</v>
      </c>
      <c r="GA16" s="772"/>
      <c r="GB16" s="678"/>
      <c r="GC16" s="667">
        <f t="shared" si="119"/>
        <v>0</v>
      </c>
      <c r="GD16" s="669">
        <f t="shared" si="120"/>
        <v>0</v>
      </c>
      <c r="GE16" s="667">
        <f t="shared" si="121"/>
        <v>0</v>
      </c>
      <c r="GF16" s="669">
        <f t="shared" si="122"/>
        <v>0</v>
      </c>
      <c r="GG16" s="498">
        <f t="shared" si="123"/>
        <v>14654027.779999999</v>
      </c>
      <c r="GH16" s="1251">
        <f>[1]Субсидия_факт!BH14</f>
        <v>4103127.7799999993</v>
      </c>
      <c r="GI16" s="676">
        <f>[1]Субсидия_факт!BJ14</f>
        <v>10550900</v>
      </c>
      <c r="GJ16" s="498">
        <f t="shared" si="124"/>
        <v>11162192.380000001</v>
      </c>
      <c r="GK16" s="724">
        <v>3125413.870000001</v>
      </c>
      <c r="GL16" s="678">
        <v>8036778.5099999998</v>
      </c>
      <c r="GM16" s="498">
        <f t="shared" si="44"/>
        <v>0</v>
      </c>
      <c r="GN16" s="516"/>
      <c r="GO16" s="838"/>
      <c r="GP16" s="466">
        <f t="shared" si="45"/>
        <v>0</v>
      </c>
      <c r="GQ16" s="724"/>
      <c r="GR16" s="678"/>
      <c r="GS16" s="498">
        <f t="shared" si="46"/>
        <v>0</v>
      </c>
      <c r="GT16" s="516">
        <f>[1]Субсидия_факт!FZ14</f>
        <v>0</v>
      </c>
      <c r="GU16" s="838">
        <f>[1]Субсидия_факт!GD14</f>
        <v>0</v>
      </c>
      <c r="GV16" s="466">
        <f t="shared" si="47"/>
        <v>0</v>
      </c>
      <c r="GW16" s="724"/>
      <c r="GX16" s="678"/>
      <c r="GY16" s="667">
        <f t="shared" si="48"/>
        <v>0</v>
      </c>
      <c r="GZ16" s="516">
        <f t="shared" si="125"/>
        <v>0</v>
      </c>
      <c r="HA16" s="838">
        <f t="shared" si="125"/>
        <v>0</v>
      </c>
      <c r="HB16" s="669">
        <f t="shared" si="49"/>
        <v>0</v>
      </c>
      <c r="HC16" s="516">
        <f t="shared" si="125"/>
        <v>0</v>
      </c>
      <c r="HD16" s="838">
        <f t="shared" si="125"/>
        <v>0</v>
      </c>
      <c r="HE16" s="667">
        <f t="shared" si="50"/>
        <v>0</v>
      </c>
      <c r="HF16" s="516">
        <f>[1]Субсидия_факт!GB14</f>
        <v>0</v>
      </c>
      <c r="HG16" s="838">
        <f>[1]Субсидия_факт!GF14</f>
        <v>0</v>
      </c>
      <c r="HH16" s="669">
        <f t="shared" si="51"/>
        <v>0</v>
      </c>
      <c r="HI16" s="724"/>
      <c r="HJ16" s="678"/>
      <c r="HK16" s="526">
        <f t="shared" si="126"/>
        <v>0</v>
      </c>
      <c r="HL16" s="518">
        <f>[1]Субсидия_факт!DD14</f>
        <v>0</v>
      </c>
      <c r="HM16" s="752">
        <f>[1]Субсидия_факт!DF14</f>
        <v>0</v>
      </c>
      <c r="HN16" s="521">
        <f t="shared" si="127"/>
        <v>0</v>
      </c>
      <c r="HO16" s="531"/>
      <c r="HP16" s="706"/>
      <c r="HQ16" s="579">
        <f t="shared" si="54"/>
        <v>90564.74</v>
      </c>
      <c r="HR16" s="516">
        <f>[1]Субсидия_факт!CR14</f>
        <v>25358.130000000005</v>
      </c>
      <c r="HS16" s="838">
        <f>[1]Субсидия_факт!CX14</f>
        <v>65206.61</v>
      </c>
      <c r="HT16" s="466">
        <f t="shared" si="55"/>
        <v>90564.74</v>
      </c>
      <c r="HU16" s="1251">
        <f t="shared" si="202"/>
        <v>25358.130000000005</v>
      </c>
      <c r="HV16" s="1519">
        <f t="shared" si="202"/>
        <v>65206.61</v>
      </c>
      <c r="HW16" s="466">
        <f t="shared" si="56"/>
        <v>1309929.8999999999</v>
      </c>
      <c r="HX16" s="516">
        <f>[1]Субсидия_факт!CT14</f>
        <v>366780.41</v>
      </c>
      <c r="HY16" s="752">
        <f>[1]Субсидия_факт!CZ14</f>
        <v>943149.49</v>
      </c>
      <c r="HZ16" s="466">
        <f t="shared" si="57"/>
        <v>1228638.4099999999</v>
      </c>
      <c r="IA16" s="757">
        <f t="shared" si="128"/>
        <v>344018.79</v>
      </c>
      <c r="IB16" s="789">
        <f t="shared" si="129"/>
        <v>884619.62</v>
      </c>
      <c r="IC16" s="625">
        <v>369376.92</v>
      </c>
      <c r="ID16" s="709">
        <v>949826.23</v>
      </c>
      <c r="IE16" s="669">
        <f t="shared" si="58"/>
        <v>1309929.8999999999</v>
      </c>
      <c r="IF16" s="750">
        <f>'Проверочная  таблица'!HX16-'Проверочная  таблица'!IL16</f>
        <v>366780.41</v>
      </c>
      <c r="IG16" s="676">
        <f>'Проверочная  таблица'!HY16-'Проверочная  таблица'!IM16</f>
        <v>943149.49</v>
      </c>
      <c r="IH16" s="663">
        <f t="shared" si="59"/>
        <v>1228638.4099999999</v>
      </c>
      <c r="II16" s="757">
        <f>'Проверочная  таблица'!IA16-'Проверочная  таблица'!IO16</f>
        <v>344018.79</v>
      </c>
      <c r="IJ16" s="768">
        <f>'Проверочная  таблица'!IB16-'Проверочная  таблица'!IP16</f>
        <v>884619.62</v>
      </c>
      <c r="IK16" s="669">
        <f t="shared" si="60"/>
        <v>0</v>
      </c>
      <c r="IL16" s="516">
        <f>[1]Субсидия_факт!CV14</f>
        <v>0</v>
      </c>
      <c r="IM16" s="838">
        <f>[1]Субсидия_факт!DB14</f>
        <v>0</v>
      </c>
      <c r="IN16" s="669">
        <f t="shared" si="61"/>
        <v>0</v>
      </c>
      <c r="IO16" s="724"/>
      <c r="IP16" s="678"/>
      <c r="IQ16" s="466">
        <f t="shared" si="130"/>
        <v>5270000</v>
      </c>
      <c r="IR16" s="757">
        <f>[1]Субсидия_факт!CJ14</f>
        <v>0</v>
      </c>
      <c r="IS16" s="676">
        <f>[1]Субсидия_факт!CN14</f>
        <v>0</v>
      </c>
      <c r="IT16" s="757">
        <f>[1]Субсидия_факт!DH14</f>
        <v>0</v>
      </c>
      <c r="IU16" s="676">
        <f>[1]Субсидия_факт!DN14</f>
        <v>0</v>
      </c>
      <c r="IV16" s="525">
        <f>[1]Субсидия_факт!DX14</f>
        <v>0</v>
      </c>
      <c r="IW16" s="689">
        <f>[1]Субсидия_факт!DZ14</f>
        <v>0</v>
      </c>
      <c r="IX16" s="1295">
        <f>[1]Субсидия_факт!DT14</f>
        <v>269612.63</v>
      </c>
      <c r="IY16" s="676">
        <f>[1]Субсидия_факт!DV14</f>
        <v>5000387.37</v>
      </c>
      <c r="IZ16" s="516">
        <f>[1]Субсидия_факт!EB14</f>
        <v>0</v>
      </c>
      <c r="JA16" s="466">
        <f t="shared" si="131"/>
        <v>5270000</v>
      </c>
      <c r="JB16" s="625"/>
      <c r="JC16" s="678"/>
      <c r="JD16" s="625"/>
      <c r="JE16" s="678"/>
      <c r="JF16" s="531"/>
      <c r="JG16" s="706"/>
      <c r="JH16" s="625">
        <v>269612.63</v>
      </c>
      <c r="JI16" s="678">
        <v>5000387.37</v>
      </c>
      <c r="JJ16" s="757">
        <f t="shared" si="132"/>
        <v>0</v>
      </c>
      <c r="JK16" s="748">
        <f t="shared" si="133"/>
        <v>30146806</v>
      </c>
      <c r="JL16" s="757">
        <f>[1]Субсидия_факт!CL14</f>
        <v>0</v>
      </c>
      <c r="JM16" s="676">
        <f>[1]Субсидия_факт!CP14</f>
        <v>0</v>
      </c>
      <c r="JN16" s="757">
        <f>[1]Субсидия_факт!DJ14</f>
        <v>8441106</v>
      </c>
      <c r="JO16" s="676">
        <f>[1]Субсидия_факт!DP14</f>
        <v>21705700</v>
      </c>
      <c r="JP16" s="748">
        <f t="shared" si="134"/>
        <v>3601228.12</v>
      </c>
      <c r="JQ16" s="625"/>
      <c r="JR16" s="678"/>
      <c r="JS16" s="625">
        <v>1008343.91</v>
      </c>
      <c r="JT16" s="678">
        <v>2592884.21</v>
      </c>
      <c r="JU16" s="587">
        <f t="shared" si="135"/>
        <v>30146806</v>
      </c>
      <c r="JV16" s="757">
        <f>'Проверочная  таблица'!JL16-KF16</f>
        <v>0</v>
      </c>
      <c r="JW16" s="676">
        <f>'Проверочная  таблица'!JM16-KG16</f>
        <v>0</v>
      </c>
      <c r="JX16" s="757">
        <f>'Проверочная  таблица'!JN16-KH16</f>
        <v>8441106</v>
      </c>
      <c r="JY16" s="676">
        <f>'Проверочная  таблица'!JO16-KI16</f>
        <v>21705700</v>
      </c>
      <c r="JZ16" s="587">
        <f t="shared" si="136"/>
        <v>3601228.12</v>
      </c>
      <c r="KA16" s="757">
        <f>'Проверочная  таблица'!JQ16-KK16</f>
        <v>0</v>
      </c>
      <c r="KB16" s="676">
        <f>'Проверочная  таблица'!JR16-KL16</f>
        <v>0</v>
      </c>
      <c r="KC16" s="757">
        <f>'Проверочная  таблица'!JS16-KM16</f>
        <v>1008343.91</v>
      </c>
      <c r="KD16" s="789">
        <f>'Проверочная  таблица'!JT16-KN16</f>
        <v>2592884.21</v>
      </c>
      <c r="KE16" s="587">
        <f t="shared" si="137"/>
        <v>0</v>
      </c>
      <c r="KF16" s="625"/>
      <c r="KG16" s="678"/>
      <c r="KH16" s="757">
        <f>[1]Субсидия_факт!DL14</f>
        <v>0</v>
      </c>
      <c r="KI16" s="1519">
        <f>[1]Субсидия_факт!DR14</f>
        <v>0</v>
      </c>
      <c r="KJ16" s="587">
        <f t="shared" si="138"/>
        <v>0</v>
      </c>
      <c r="KK16" s="753"/>
      <c r="KL16" s="678"/>
      <c r="KM16" s="625"/>
      <c r="KN16" s="678"/>
      <c r="KO16" s="579">
        <f t="shared" si="139"/>
        <v>0</v>
      </c>
      <c r="KP16" s="516">
        <f>[1]Субсидия_факт!BX14</f>
        <v>0</v>
      </c>
      <c r="KQ16" s="838">
        <f>[1]Субсидия_факт!BZ14</f>
        <v>0</v>
      </c>
      <c r="KR16" s="516">
        <f>[1]Субсидия_факт!CB14</f>
        <v>0</v>
      </c>
      <c r="KS16" s="466">
        <f t="shared" si="140"/>
        <v>0</v>
      </c>
      <c r="KT16" s="625"/>
      <c r="KU16" s="678"/>
      <c r="KV16" s="625"/>
      <c r="KW16" s="498">
        <f t="shared" si="62"/>
        <v>0</v>
      </c>
      <c r="KX16" s="508">
        <f>[1]Субсидия_факт!GN14</f>
        <v>0</v>
      </c>
      <c r="KY16" s="466">
        <f t="shared" si="63"/>
        <v>0</v>
      </c>
      <c r="KZ16" s="625"/>
      <c r="LA16" s="754">
        <f t="shared" si="206"/>
        <v>0</v>
      </c>
      <c r="LB16" s="516">
        <f>[1]Субсидия_факт!JT14</f>
        <v>0</v>
      </c>
      <c r="LC16" s="838">
        <f>[1]Субсидия_факт!JZ14</f>
        <v>0</v>
      </c>
      <c r="LD16" s="508"/>
      <c r="LE16" s="754">
        <f t="shared" si="207"/>
        <v>0</v>
      </c>
      <c r="LF16" s="772"/>
      <c r="LG16" s="678"/>
      <c r="LH16" s="625"/>
      <c r="LI16" s="754">
        <f t="shared" si="141"/>
        <v>10000000</v>
      </c>
      <c r="LJ16" s="516">
        <f>[1]Субсидия_факт!JV14</f>
        <v>0</v>
      </c>
      <c r="LK16" s="838">
        <f>[1]Субсидия_факт!KB14</f>
        <v>0</v>
      </c>
      <c r="LL16" s="518">
        <f>[1]Субсидия_факт!KF14</f>
        <v>10000000</v>
      </c>
      <c r="LM16" s="754">
        <f t="shared" si="142"/>
        <v>0</v>
      </c>
      <c r="LN16" s="625"/>
      <c r="LO16" s="771"/>
      <c r="LP16" s="625"/>
      <c r="LQ16" s="756">
        <f t="shared" si="143"/>
        <v>10000000</v>
      </c>
      <c r="LR16" s="652">
        <f>'Проверочная  таблица'!LJ16-LZ16</f>
        <v>0</v>
      </c>
      <c r="LS16" s="682">
        <f>'Проверочная  таблица'!LK16-MA16</f>
        <v>0</v>
      </c>
      <c r="LT16" s="622">
        <f>'Проверочная  таблица'!LL16-MB16</f>
        <v>10000000</v>
      </c>
      <c r="LU16" s="756">
        <f t="shared" si="144"/>
        <v>0</v>
      </c>
      <c r="LV16" s="750">
        <f>'Проверочная  таблица'!LN16-MD16</f>
        <v>0</v>
      </c>
      <c r="LW16" s="676">
        <f>'Проверочная  таблица'!LO16-ME16</f>
        <v>0</v>
      </c>
      <c r="LX16" s="757">
        <f>'Проверочная  таблица'!LP16-MF16</f>
        <v>0</v>
      </c>
      <c r="LY16" s="756">
        <f t="shared" si="145"/>
        <v>0</v>
      </c>
      <c r="LZ16" s="516">
        <f>[1]Субсидия_факт!JX14</f>
        <v>0</v>
      </c>
      <c r="MA16" s="838">
        <f>[1]Субсидия_факт!KD14</f>
        <v>0</v>
      </c>
      <c r="MB16" s="516">
        <f>[1]Субсидия_факт!KH14</f>
        <v>0</v>
      </c>
      <c r="MC16" s="756">
        <f t="shared" si="146"/>
        <v>0</v>
      </c>
      <c r="MD16" s="750">
        <f t="shared" si="203"/>
        <v>0</v>
      </c>
      <c r="ME16" s="676">
        <f t="shared" si="204"/>
        <v>0</v>
      </c>
      <c r="MF16" s="516"/>
      <c r="MG16" s="521">
        <f t="shared" si="147"/>
        <v>7501903.3200000003</v>
      </c>
      <c r="MH16" s="652">
        <f>[1]Субсидия_факт!KR14</f>
        <v>123556.17000000001</v>
      </c>
      <c r="MI16" s="682">
        <f>[1]Субсидия_факт!KV14</f>
        <v>2347567.15</v>
      </c>
      <c r="MJ16" s="750">
        <f>[1]Субсидия_факт!KZ14</f>
        <v>251539</v>
      </c>
      <c r="MK16" s="1519">
        <f>[1]Субсидия_факт!LD14</f>
        <v>4779241</v>
      </c>
      <c r="ML16" s="521">
        <f t="shared" si="148"/>
        <v>1588979.64</v>
      </c>
      <c r="MM16" s="1609">
        <v>79448.95</v>
      </c>
      <c r="MN16" s="706">
        <v>1509530.69</v>
      </c>
      <c r="MO16" s="342"/>
      <c r="MP16" s="770"/>
      <c r="MQ16" s="587">
        <f t="shared" si="149"/>
        <v>7501903.3200000003</v>
      </c>
      <c r="MR16" s="1613">
        <f t="shared" si="64"/>
        <v>123556.17000000001</v>
      </c>
      <c r="MS16" s="682">
        <f t="shared" si="65"/>
        <v>2347567.15</v>
      </c>
      <c r="MT16" s="487">
        <f t="shared" si="66"/>
        <v>251539</v>
      </c>
      <c r="MU16" s="682">
        <f t="shared" si="67"/>
        <v>4779241</v>
      </c>
      <c r="MV16" s="587">
        <f t="shared" si="150"/>
        <v>1588979.64</v>
      </c>
      <c r="MW16" s="487">
        <f t="shared" si="68"/>
        <v>79448.95</v>
      </c>
      <c r="MX16" s="682">
        <f t="shared" si="69"/>
        <v>1509530.69</v>
      </c>
      <c r="MY16" s="487">
        <f t="shared" si="70"/>
        <v>0</v>
      </c>
      <c r="MZ16" s="682">
        <f t="shared" si="71"/>
        <v>0</v>
      </c>
      <c r="NA16" s="587">
        <f t="shared" si="151"/>
        <v>0</v>
      </c>
      <c r="NB16" s="1079">
        <f>[1]Субсидия_факт!KT14</f>
        <v>0</v>
      </c>
      <c r="NC16" s="682">
        <f>[1]Субсидия_факт!KX14</f>
        <v>0</v>
      </c>
      <c r="ND16" s="625">
        <f>[1]Субсидия_факт!LB14</f>
        <v>0</v>
      </c>
      <c r="NE16" s="709">
        <f>[1]Субсидия_факт!LF14</f>
        <v>0</v>
      </c>
      <c r="NF16" s="587">
        <f t="shared" si="152"/>
        <v>0</v>
      </c>
      <c r="NG16" s="487"/>
      <c r="NH16" s="712"/>
      <c r="NI16" s="342"/>
      <c r="NJ16" s="706"/>
      <c r="NK16" s="498">
        <f t="shared" si="72"/>
        <v>0</v>
      </c>
      <c r="NL16" s="516">
        <f>[1]Субсидия_факт!AB14</f>
        <v>0</v>
      </c>
      <c r="NM16" s="838">
        <f>[1]Субсидия_факт!AD14</f>
        <v>0</v>
      </c>
      <c r="NN16" s="466">
        <f t="shared" si="73"/>
        <v>0</v>
      </c>
      <c r="NO16" s="772"/>
      <c r="NP16" s="987"/>
      <c r="NQ16" s="521">
        <f t="shared" si="153"/>
        <v>148120000</v>
      </c>
      <c r="NR16" s="506">
        <f>[1]Субсидия_факт!LH14</f>
        <v>0</v>
      </c>
      <c r="NS16" s="866">
        <f>[1]Субсидия_факт!LJ14</f>
        <v>0</v>
      </c>
      <c r="NT16" s="525">
        <f>[1]Субсидия_факт!MN14</f>
        <v>0</v>
      </c>
      <c r="NU16" s="689">
        <f>[1]Субсидия_факт!MP14</f>
        <v>0</v>
      </c>
      <c r="NV16" s="1147">
        <f>[1]Субсидия_факт!MB14</f>
        <v>26661600</v>
      </c>
      <c r="NW16" s="682">
        <f>[1]Субсидия_факт!MH14</f>
        <v>121458400</v>
      </c>
      <c r="NX16" s="521">
        <f t="shared" si="154"/>
        <v>100899488.68000001</v>
      </c>
      <c r="NY16" s="474"/>
      <c r="NZ16" s="686"/>
      <c r="OA16" s="474"/>
      <c r="OB16" s="686"/>
      <c r="OC16" s="342">
        <v>24300574.440000001</v>
      </c>
      <c r="OD16" s="1279">
        <v>76598914.24000001</v>
      </c>
      <c r="OE16" s="521">
        <f t="shared" si="155"/>
        <v>30236421.050000001</v>
      </c>
      <c r="OF16" s="652">
        <f>[1]Субсидия_факт!KJ14</f>
        <v>1511821.0500000007</v>
      </c>
      <c r="OG16" s="682">
        <f>[1]Субсидия_факт!KN14</f>
        <v>28724600</v>
      </c>
      <c r="OH16" s="652">
        <f>[1]Субсидия_факт!LL14</f>
        <v>0</v>
      </c>
      <c r="OI16" s="682">
        <f>[1]Субсидия_факт!LP14</f>
        <v>0</v>
      </c>
      <c r="OJ16" s="652">
        <f>[1]Субсидия_факт!MD14</f>
        <v>0</v>
      </c>
      <c r="OK16" s="682">
        <f>[1]Субсидия_факт!MJ14</f>
        <v>0</v>
      </c>
      <c r="OL16" s="521">
        <f t="shared" si="156"/>
        <v>11877721.65</v>
      </c>
      <c r="OM16" s="342">
        <v>593886.04000000097</v>
      </c>
      <c r="ON16" s="706">
        <v>11283835.609999999</v>
      </c>
      <c r="OO16" s="474"/>
      <c r="OP16" s="686"/>
      <c r="OQ16" s="487"/>
      <c r="OR16" s="712"/>
      <c r="OS16" s="587">
        <f t="shared" si="157"/>
        <v>30236421.050000001</v>
      </c>
      <c r="OT16" s="1066">
        <f t="shared" si="74"/>
        <v>1511821.0500000007</v>
      </c>
      <c r="OU16" s="682">
        <f t="shared" si="75"/>
        <v>28724600</v>
      </c>
      <c r="OV16" s="1066">
        <f t="shared" si="76"/>
        <v>0</v>
      </c>
      <c r="OW16" s="682">
        <f t="shared" si="77"/>
        <v>0</v>
      </c>
      <c r="OX16" s="1147">
        <f t="shared" si="78"/>
        <v>0</v>
      </c>
      <c r="OY16" s="682">
        <f t="shared" si="79"/>
        <v>0</v>
      </c>
      <c r="OZ16" s="587">
        <f t="shared" si="158"/>
        <v>11877721.65</v>
      </c>
      <c r="PA16" s="1066">
        <f t="shared" si="80"/>
        <v>593886.04000000097</v>
      </c>
      <c r="PB16" s="682">
        <f t="shared" si="81"/>
        <v>11283835.609999999</v>
      </c>
      <c r="PC16" s="1066">
        <f t="shared" si="82"/>
        <v>0</v>
      </c>
      <c r="PD16" s="682">
        <f t="shared" si="83"/>
        <v>0</v>
      </c>
      <c r="PE16" s="1147">
        <f t="shared" si="84"/>
        <v>0</v>
      </c>
      <c r="PF16" s="682">
        <f t="shared" si="85"/>
        <v>0</v>
      </c>
      <c r="PG16" s="587">
        <f t="shared" si="159"/>
        <v>0</v>
      </c>
      <c r="PH16" s="1079">
        <f>[1]Субсидия_факт!KL14</f>
        <v>0</v>
      </c>
      <c r="PI16" s="682">
        <f>[1]Субсидия_факт!KP14</f>
        <v>0</v>
      </c>
      <c r="PJ16" s="652">
        <f>[1]Субсидия_факт!LN14</f>
        <v>0</v>
      </c>
      <c r="PK16" s="682">
        <f>[1]Субсидия_факт!LR14</f>
        <v>0</v>
      </c>
      <c r="PL16" s="652">
        <f>[1]Субсидия_факт!MF14</f>
        <v>0</v>
      </c>
      <c r="PM16" s="682">
        <f>[1]Субсидия_факт!ML14</f>
        <v>0</v>
      </c>
      <c r="PN16" s="587">
        <f t="shared" si="160"/>
        <v>0</v>
      </c>
      <c r="PO16" s="487"/>
      <c r="PP16" s="712"/>
      <c r="PQ16" s="474"/>
      <c r="PR16" s="686"/>
      <c r="PS16" s="487"/>
      <c r="PT16" s="712"/>
      <c r="PU16" s="466">
        <f t="shared" si="161"/>
        <v>0</v>
      </c>
      <c r="PV16" s="516">
        <f>[1]Субсидия_факт!MR14</f>
        <v>0</v>
      </c>
      <c r="PW16" s="838">
        <f>[1]Субсидия_факт!MX14</f>
        <v>0</v>
      </c>
      <c r="PX16" s="466">
        <f t="shared" si="162"/>
        <v>0</v>
      </c>
      <c r="PY16" s="724"/>
      <c r="PZ16" s="678"/>
      <c r="QA16" s="579">
        <f t="shared" si="163"/>
        <v>0</v>
      </c>
      <c r="QB16" s="516">
        <f>[1]Субсидия_факт!MT14</f>
        <v>0</v>
      </c>
      <c r="QC16" s="838">
        <f>[1]Субсидия_факт!MZ14</f>
        <v>0</v>
      </c>
      <c r="QD16" s="466">
        <f t="shared" si="164"/>
        <v>0</v>
      </c>
      <c r="QE16" s="724"/>
      <c r="QF16" s="987"/>
      <c r="QG16" s="669">
        <f t="shared" si="165"/>
        <v>0</v>
      </c>
      <c r="QH16" s="516">
        <f t="shared" si="166"/>
        <v>0</v>
      </c>
      <c r="QI16" s="838">
        <f t="shared" si="167"/>
        <v>0</v>
      </c>
      <c r="QJ16" s="669">
        <f t="shared" si="168"/>
        <v>0</v>
      </c>
      <c r="QK16" s="516">
        <f t="shared" si="169"/>
        <v>0</v>
      </c>
      <c r="QL16" s="838">
        <f t="shared" si="170"/>
        <v>0</v>
      </c>
      <c r="QM16" s="669">
        <f t="shared" si="171"/>
        <v>0</v>
      </c>
      <c r="QN16" s="516">
        <f>[1]Субсидия_факт!MV14</f>
        <v>0</v>
      </c>
      <c r="QO16" s="838">
        <f>[1]Субсидия_факт!NB14</f>
        <v>0</v>
      </c>
      <c r="QP16" s="669">
        <f t="shared" si="172"/>
        <v>0</v>
      </c>
      <c r="QQ16" s="516">
        <f>[1]Субсидия_факт!NI14</f>
        <v>0</v>
      </c>
      <c r="QR16" s="752">
        <f>[1]Субсидия_факт!NO14</f>
        <v>0</v>
      </c>
      <c r="QS16" s="521">
        <f>'Прочая  субсидия_МР  и  ГО'!B12</f>
        <v>24264524.960000001</v>
      </c>
      <c r="QT16" s="521">
        <f>'Прочая  субсидия_МР  и  ГО'!C12</f>
        <v>16737542.359999999</v>
      </c>
      <c r="QU16" s="524">
        <f>'Прочая  субсидия_БП'!B12</f>
        <v>6429154.8600000003</v>
      </c>
      <c r="QV16" s="526">
        <f>'Прочая  субсидия_БП'!C12</f>
        <v>524877.03</v>
      </c>
      <c r="QW16" s="583">
        <f>'Прочая  субсидия_БП'!D12</f>
        <v>6429154.8600000003</v>
      </c>
      <c r="QX16" s="582">
        <f>'Прочая  субсидия_БП'!E12</f>
        <v>524877.03</v>
      </c>
      <c r="QY16" s="588">
        <f>'Прочая  субсидия_БП'!F12</f>
        <v>0</v>
      </c>
      <c r="QZ16" s="583">
        <f>'Прочая  субсидия_БП'!G12</f>
        <v>0</v>
      </c>
      <c r="RA16" s="526">
        <f t="shared" si="173"/>
        <v>351592314.22000003</v>
      </c>
      <c r="RB16" s="525">
        <f>'Проверочная  таблица'!SF16+'Проверочная  таблица'!RG16+'Проверочная  таблица'!RI16+'Проверочная  таблица'!RK16+RX16</f>
        <v>342017447.10000002</v>
      </c>
      <c r="RC16" s="508">
        <f>'Проверочная  таблица'!SG16+'Проверочная  таблица'!RM16+'Проверочная  таблица'!RS16+'Проверочная  таблица'!RO16+'Проверочная  таблица'!RQ16+RU16+RY16+SC16</f>
        <v>9574867.1199999992</v>
      </c>
      <c r="RD16" s="521">
        <f t="shared" si="174"/>
        <v>255648386.41</v>
      </c>
      <c r="RE16" s="506">
        <f>'Проверочная  таблица'!SI16+'Проверочная  таблица'!RH16+'Проверочная  таблица'!RJ16+'Проверочная  таблица'!RL16+SA16</f>
        <v>250697605.18000001</v>
      </c>
      <c r="RF16" s="508">
        <f>'Проверочная  таблица'!SJ16+'Проверочная  таблица'!RN16+'Проверочная  таблица'!RT16+'Проверочная  таблица'!RP16+'Проверочная  таблица'!RR16+RV16+SB16+SD16</f>
        <v>4950781.2300000004</v>
      </c>
      <c r="RG16" s="579">
        <f>'Субвенция  на  полномочия'!B12</f>
        <v>323298391.31</v>
      </c>
      <c r="RH16" s="466">
        <f>'Субвенция  на  полномочия'!C12</f>
        <v>236997060.81999999</v>
      </c>
      <c r="RI16" s="733">
        <f>[1]Субвенция_факт!Q13*1000</f>
        <v>12473804</v>
      </c>
      <c r="RJ16" s="736">
        <v>8878000</v>
      </c>
      <c r="RK16" s="733">
        <f>[1]Субвенция_факт!J13*1000</f>
        <v>3004177</v>
      </c>
      <c r="RL16" s="736">
        <v>3004177</v>
      </c>
      <c r="RM16" s="733">
        <f>[1]Субвенция_факт!AE13*1000</f>
        <v>1824800</v>
      </c>
      <c r="RN16" s="736">
        <v>1179672.5</v>
      </c>
      <c r="RO16" s="733">
        <f>[1]Субвенция_факт!AF13*1000</f>
        <v>4000</v>
      </c>
      <c r="RP16" s="736">
        <v>0</v>
      </c>
      <c r="RQ16" s="733">
        <f>[1]Субвенция_факт!E13*1000</f>
        <v>0</v>
      </c>
      <c r="RR16" s="736"/>
      <c r="RS16" s="733">
        <f>[1]Субвенция_факт!F13*1000</f>
        <v>0</v>
      </c>
      <c r="RT16" s="827"/>
      <c r="RU16" s="170">
        <f>[1]Субвенция_факт!G13*1000</f>
        <v>0</v>
      </c>
      <c r="RV16" s="1109"/>
      <c r="RW16" s="521">
        <f t="shared" si="88"/>
        <v>8452606.4000000004</v>
      </c>
      <c r="RX16" s="622">
        <f>[1]Субвенция_факт!N13*1000</f>
        <v>2366729.79</v>
      </c>
      <c r="RY16" s="682">
        <f>[1]Субвенция_факт!O13*1000</f>
        <v>6085876.6100000003</v>
      </c>
      <c r="RZ16" s="521">
        <f t="shared" si="89"/>
        <v>3877383.4400000004</v>
      </c>
      <c r="SA16" s="773">
        <v>1085667.3600000001</v>
      </c>
      <c r="SB16" s="1279">
        <v>2791716.08</v>
      </c>
      <c r="SC16" s="170">
        <f>[1]Субвенция_факт!AG13*1000</f>
        <v>364190.51</v>
      </c>
      <c r="SD16" s="1277"/>
      <c r="SE16" s="498">
        <f t="shared" si="175"/>
        <v>2170345</v>
      </c>
      <c r="SF16" s="833">
        <f>[1]Субвенция_факт!AD13*1000</f>
        <v>874345</v>
      </c>
      <c r="SG16" s="1562">
        <f>[1]Субвенция_факт!AC13*1000</f>
        <v>1296000</v>
      </c>
      <c r="SH16" s="521">
        <f t="shared" si="176"/>
        <v>1712092.65</v>
      </c>
      <c r="SI16" s="1557">
        <v>732700</v>
      </c>
      <c r="SJ16" s="1635">
        <v>979392.65</v>
      </c>
      <c r="SK16" s="280">
        <f>'Проверочная  таблица'!VC16+'Проверочная  таблица'!UO16+'Проверочная  таблица'!SY16+'Проверочная  таблица'!TC16+UA16+UG16+TK16+TQ16+SM16+SS16</f>
        <v>54330795.719999999</v>
      </c>
      <c r="SL16" s="170">
        <f>'Проверочная  таблица'!VF16+'Проверочная  таблица'!UV16+'Проверочная  таблица'!TA16+'Проверочная  таблица'!TE16+UD16+UK16+TN16+TT16+SP16+SV16</f>
        <v>33752210.790000007</v>
      </c>
      <c r="SM16" s="524">
        <f t="shared" si="92"/>
        <v>14764680</v>
      </c>
      <c r="SN16" s="833">
        <f>'[1]Иные межбюджетные трансферты'!I14</f>
        <v>0</v>
      </c>
      <c r="SO16" s="880">
        <f>'[1]Иные межбюджетные трансферты'!K14</f>
        <v>14764680</v>
      </c>
      <c r="SP16" s="521">
        <f t="shared" si="93"/>
        <v>9822840</v>
      </c>
      <c r="SQ16" s="1421"/>
      <c r="SR16" s="1422">
        <v>9822840</v>
      </c>
      <c r="SS16" s="521">
        <f t="shared" si="177"/>
        <v>0</v>
      </c>
      <c r="ST16" s="1082">
        <f>'[1]Иные межбюджетные трансферты'!Y14</f>
        <v>0</v>
      </c>
      <c r="SU16" s="1630">
        <f>'[1]Иные межбюджетные трансферты'!AE14</f>
        <v>0</v>
      </c>
      <c r="SV16" s="521">
        <f t="shared" si="178"/>
        <v>0</v>
      </c>
      <c r="SW16" s="906"/>
      <c r="SX16" s="1422"/>
      <c r="SY16" s="1254">
        <f t="shared" si="94"/>
        <v>0</v>
      </c>
      <c r="SZ16" s="1009">
        <f>'[1]Иные межбюджетные трансферты'!AG14</f>
        <v>0</v>
      </c>
      <c r="TA16" s="899">
        <f t="shared" si="95"/>
        <v>0</v>
      </c>
      <c r="TB16" s="1422"/>
      <c r="TC16" s="903">
        <f t="shared" si="96"/>
        <v>0</v>
      </c>
      <c r="TD16" s="1009">
        <f>'[1]Иные межбюджетные трансферты'!AI14</f>
        <v>0</v>
      </c>
      <c r="TE16" s="899">
        <f t="shared" si="97"/>
        <v>0</v>
      </c>
      <c r="TF16" s="1082"/>
      <c r="TG16" s="901">
        <f t="shared" si="98"/>
        <v>0</v>
      </c>
      <c r="TH16" s="897">
        <f t="shared" si="99"/>
        <v>0</v>
      </c>
      <c r="TI16" s="1086">
        <f t="shared" si="179"/>
        <v>0</v>
      </c>
      <c r="TJ16" s="897">
        <f t="shared" si="180"/>
        <v>0</v>
      </c>
      <c r="TK16" s="903">
        <f t="shared" si="181"/>
        <v>0</v>
      </c>
      <c r="TL16" s="1079"/>
      <c r="TM16" s="682"/>
      <c r="TN16" s="903">
        <f t="shared" si="182"/>
        <v>0</v>
      </c>
      <c r="TO16" s="773"/>
      <c r="TP16" s="686"/>
      <c r="TQ16" s="903">
        <f t="shared" si="183"/>
        <v>0</v>
      </c>
      <c r="TR16" s="1079">
        <f>'[1]Иные межбюджетные трансферты'!AQ14</f>
        <v>0</v>
      </c>
      <c r="TS16" s="682">
        <f>'[1]Иные межбюджетные трансферты'!AU14</f>
        <v>0</v>
      </c>
      <c r="TT16" s="899">
        <f t="shared" si="184"/>
        <v>0</v>
      </c>
      <c r="TU16" s="753"/>
      <c r="TV16" s="771"/>
      <c r="TW16" s="820">
        <f t="shared" si="185"/>
        <v>0</v>
      </c>
      <c r="TX16" s="820">
        <f t="shared" si="186"/>
        <v>0</v>
      </c>
      <c r="TY16" s="820">
        <f t="shared" si="187"/>
        <v>0</v>
      </c>
      <c r="TZ16" s="1199">
        <f t="shared" si="188"/>
        <v>0</v>
      </c>
      <c r="UA16" s="1134">
        <f t="shared" si="100"/>
        <v>0</v>
      </c>
      <c r="UB16" s="945">
        <f>'[1]Иные межбюджетные трансферты'!U14</f>
        <v>0</v>
      </c>
      <c r="UC16" s="1133">
        <f>'[1]Иные межбюджетные трансферты'!W14</f>
        <v>0</v>
      </c>
      <c r="UD16" s="734">
        <f t="shared" si="101"/>
        <v>0</v>
      </c>
      <c r="UE16" s="945"/>
      <c r="UF16" s="1133"/>
      <c r="UG16" s="734">
        <f t="shared" si="189"/>
        <v>0</v>
      </c>
      <c r="UH16" s="945">
        <f>'[1]Иные межбюджетные трансферты'!O14</f>
        <v>0</v>
      </c>
      <c r="UI16" s="1133">
        <f>'[1]Иные межбюджетные трансферты'!Q14</f>
        <v>0</v>
      </c>
      <c r="UJ16" s="1133">
        <f>'[1]Иные межбюджетные трансферты'!S14</f>
        <v>0</v>
      </c>
      <c r="UK16" s="734">
        <f t="shared" si="190"/>
        <v>0</v>
      </c>
      <c r="UL16" s="1513"/>
      <c r="UM16" s="1426"/>
      <c r="UN16" s="1624"/>
      <c r="UO16" s="1585">
        <f t="shared" si="191"/>
        <v>7356247.1900000004</v>
      </c>
      <c r="UP16" s="833">
        <f>'[1]Иные межбюджетные трансферты'!E14</f>
        <v>0</v>
      </c>
      <c r="UQ16" s="880">
        <f>'[1]Иные межбюджетные трансферты'!G14</f>
        <v>0</v>
      </c>
      <c r="UR16" s="830">
        <f>'[1]Иные межбюджетные трансферты'!M14</f>
        <v>6500000</v>
      </c>
      <c r="US16" s="1044"/>
      <c r="UT16" s="1498">
        <f>'[1]Иные межбюджетные трансферты'!AY14</f>
        <v>0</v>
      </c>
      <c r="UU16" s="1539">
        <f>'[1]Иные межбюджетные трансферты'!BA14</f>
        <v>856247.19000000006</v>
      </c>
      <c r="UV16" s="834">
        <f t="shared" si="192"/>
        <v>856247.19000000006</v>
      </c>
      <c r="UW16" s="908"/>
      <c r="UX16" s="906"/>
      <c r="UY16" s="1425">
        <v>0</v>
      </c>
      <c r="UZ16" s="516"/>
      <c r="VA16" s="518">
        <f t="shared" si="102"/>
        <v>0</v>
      </c>
      <c r="VB16" s="516">
        <f t="shared" si="193"/>
        <v>856247.19000000006</v>
      </c>
      <c r="VC16" s="899">
        <f t="shared" si="194"/>
        <v>32209868.530000001</v>
      </c>
      <c r="VD16" s="830">
        <f>'[1]Иные межбюджетные трансферты'!AM14</f>
        <v>27995582.25</v>
      </c>
      <c r="VE16" s="1587">
        <f>'[1]Иные межбюджетные трансферты'!BC14</f>
        <v>4214286.28</v>
      </c>
      <c r="VF16" s="1495">
        <f t="shared" si="195"/>
        <v>23073123.600000001</v>
      </c>
      <c r="VG16" s="753">
        <v>18858837.32</v>
      </c>
      <c r="VH16" s="1251">
        <f t="shared" si="196"/>
        <v>4214286.28</v>
      </c>
      <c r="VI16" s="1199">
        <f t="shared" si="197"/>
        <v>32209868.530000001</v>
      </c>
      <c r="VJ16" s="516">
        <f>'Проверочная  таблица'!VD16-VP16</f>
        <v>27995582.25</v>
      </c>
      <c r="VK16" s="516">
        <f>'Проверочная  таблица'!VE16-VQ16</f>
        <v>4214286.28</v>
      </c>
      <c r="VL16" s="1199">
        <f t="shared" si="198"/>
        <v>23073123.600000001</v>
      </c>
      <c r="VM16" s="516">
        <f>'Проверочная  таблица'!VG16-VS16</f>
        <v>18858837.32</v>
      </c>
      <c r="VN16" s="516">
        <f>'Проверочная  таблица'!VH16-VT16</f>
        <v>4214286.28</v>
      </c>
      <c r="VO16" s="1199">
        <f t="shared" si="199"/>
        <v>0</v>
      </c>
      <c r="VP16" s="833">
        <f>'[1]Иные межбюджетные трансферты'!AO14</f>
        <v>0</v>
      </c>
      <c r="VQ16" s="830">
        <f>'[1]Иные межбюджетные трансферты'!BE14</f>
        <v>0</v>
      </c>
      <c r="VR16" s="1501">
        <f t="shared" si="200"/>
        <v>0</v>
      </c>
      <c r="VS16" s="1492"/>
      <c r="VT16" s="518">
        <f t="shared" si="201"/>
        <v>0</v>
      </c>
      <c r="VU16" s="521">
        <f>VW16+'Проверочная  таблица'!WE16+WA16+'Проверочная  таблица'!WI16+WC16+'Проверочная  таблица'!WK16</f>
        <v>-11700000</v>
      </c>
      <c r="VV16" s="521">
        <f>VX16+'Проверочная  таблица'!WF16+WB16+'Проверочная  таблица'!WJ16+WD16+'Проверочная  таблица'!WL16</f>
        <v>2300000</v>
      </c>
      <c r="VW16" s="533"/>
      <c r="VX16" s="533"/>
      <c r="VY16" s="533">
        <v>2300000</v>
      </c>
      <c r="VZ16" s="533">
        <v>2300000</v>
      </c>
      <c r="WA16" s="530">
        <f t="shared" si="103"/>
        <v>2300000</v>
      </c>
      <c r="WB16" s="528">
        <f t="shared" si="104"/>
        <v>2300000</v>
      </c>
      <c r="WC16" s="534"/>
      <c r="WD16" s="523"/>
      <c r="WE16" s="533">
        <v>-11700000</v>
      </c>
      <c r="WF16" s="533"/>
      <c r="WG16" s="533">
        <v>-2300000</v>
      </c>
      <c r="WH16" s="533"/>
      <c r="WI16" s="530">
        <f t="shared" si="105"/>
        <v>-2300000</v>
      </c>
      <c r="WJ16" s="528">
        <f t="shared" si="106"/>
        <v>0</v>
      </c>
      <c r="WK16" s="523"/>
      <c r="WL16" s="523"/>
      <c r="WM16" s="252">
        <f>'Проверочная  таблица'!WE16+'Проверочная  таблица'!WG16</f>
        <v>-14000000</v>
      </c>
      <c r="WN16" s="252">
        <f>'Проверочная  таблица'!WF16+'Проверочная  таблица'!WH16</f>
        <v>0</v>
      </c>
      <c r="WO16" s="1042"/>
    </row>
    <row r="17" spans="1:613" s="338" customFormat="1" ht="25.5" customHeight="1" x14ac:dyDescent="0.25">
      <c r="A17" s="347" t="s">
        <v>84</v>
      </c>
      <c r="B17" s="526">
        <f>D17+AI17+'Проверочная  таблица'!RA17+'Проверочная  таблица'!SK17</f>
        <v>455509271.54000002</v>
      </c>
      <c r="C17" s="521">
        <f>E17+'Проверочная  таблица'!RD17+AJ17+'Проверочная  таблица'!SL17</f>
        <v>314048654.11000001</v>
      </c>
      <c r="D17" s="524">
        <f t="shared" si="0"/>
        <v>103738844</v>
      </c>
      <c r="E17" s="526">
        <f t="shared" si="1"/>
        <v>76060956</v>
      </c>
      <c r="F17" s="581">
        <f>'[1]Дотация  из  ОБ_факт'!M13</f>
        <v>49830600</v>
      </c>
      <c r="G17" s="963">
        <v>38350950</v>
      </c>
      <c r="H17" s="581">
        <f>'[1]Дотация  из  ОБ_факт'!G13</f>
        <v>24472000</v>
      </c>
      <c r="I17" s="963">
        <v>18525750</v>
      </c>
      <c r="J17" s="582">
        <f t="shared" si="2"/>
        <v>24472000</v>
      </c>
      <c r="K17" s="588">
        <f t="shared" si="3"/>
        <v>18525750</v>
      </c>
      <c r="L17" s="835">
        <f>'[1]Дотация  из  ОБ_факт'!K13</f>
        <v>0</v>
      </c>
      <c r="M17" s="1446"/>
      <c r="N17" s="581">
        <f>'[1]Дотация  из  ОБ_факт'!Q13</f>
        <v>1911080</v>
      </c>
      <c r="O17" s="963">
        <v>945000</v>
      </c>
      <c r="P17" s="581">
        <f>'[1]Дотация  из  ОБ_факт'!S13</f>
        <v>27525163.999999996</v>
      </c>
      <c r="Q17" s="1442">
        <v>18239256</v>
      </c>
      <c r="R17" s="588">
        <f t="shared" si="4"/>
        <v>27525163.999999996</v>
      </c>
      <c r="S17" s="583">
        <f t="shared" si="5"/>
        <v>18239256</v>
      </c>
      <c r="T17" s="835">
        <f>'[1]Дотация  из  ОБ_факт'!W13</f>
        <v>0</v>
      </c>
      <c r="U17" s="1448"/>
      <c r="V17" s="581">
        <f>'[1]Дотация  из  ОБ_факт'!AA13+'[1]Дотация  из  ОБ_факт'!AC13+'[1]Дотация  из  ОБ_факт'!AG13</f>
        <v>0</v>
      </c>
      <c r="W17" s="461">
        <f t="shared" si="6"/>
        <v>0</v>
      </c>
      <c r="X17" s="585"/>
      <c r="Y17" s="584"/>
      <c r="Z17" s="585"/>
      <c r="AA17" s="581">
        <f>'[1]Дотация  из  ОБ_факт'!Y13+'[1]Дотация  из  ОБ_факт'!AE13</f>
        <v>0</v>
      </c>
      <c r="AB17" s="172">
        <f t="shared" si="7"/>
        <v>0</v>
      </c>
      <c r="AC17" s="584"/>
      <c r="AD17" s="585"/>
      <c r="AE17" s="582">
        <f t="shared" si="8"/>
        <v>0</v>
      </c>
      <c r="AF17" s="588">
        <f t="shared" si="9"/>
        <v>0</v>
      </c>
      <c r="AG17" s="1187">
        <f>'[1]Дотация  из  ОБ_факт'!AE13</f>
        <v>0</v>
      </c>
      <c r="AH17" s="1480">
        <f t="shared" si="107"/>
        <v>0</v>
      </c>
      <c r="AI17" s="579">
        <f>'Проверочная  таблица'!KW17+'Проверочная  таблица'!QS17+'Проверочная  таблица'!QU17+CS17+CU17+DA17+DC17+BU17+CE17+'Проверочная  таблица'!IQ17+'Проверочная  таблица'!JK17+'Проверочная  таблица'!EE17+'Проверочная  таблица'!KO17+DQ17+'Проверочная  таблица'!HQ17+'Проверочная  таблица'!HW17+'Проверочная  таблица'!LA17+'Проверочная  таблица'!LI17+HK17+FQ17+FE17+NK17+EY17+AK17+AW17+FK17+GM17+GS17+DI17+NQ17+FW17+EK17+OE17+MG17+GG17+PU17+QA17</f>
        <v>86719779.769999996</v>
      </c>
      <c r="AJ17" s="498">
        <f>'Проверочная  таблица'!KY17+'Проверочная  таблица'!QT17+'Проверочная  таблица'!QV17+CT17+CV17+DB17+DD17+BZ17+CJ17+'Проверочная  таблица'!JA17+'Проверочная  таблица'!JP17+'Проверочная  таблица'!EH17+'Проверочная  таблица'!KS17+DX17+'Проверочная  таблица'!HT17+'Проверочная  таблица'!HZ17+'Проверочная  таблица'!LE17+'Проверочная  таблица'!LM17+HN17+FN17+FT17+FH17+NN17+FB17+AQ17+BA17+GP17+GV17+DM17+NX17+FZ17+ER17+OL17+ML17+GJ17+PX17+QD17</f>
        <v>46158100.479999997</v>
      </c>
      <c r="AK17" s="466">
        <f t="shared" si="108"/>
        <v>0</v>
      </c>
      <c r="AL17" s="525">
        <f>[1]Субсидия_факт!CD15</f>
        <v>0</v>
      </c>
      <c r="AM17" s="508">
        <f>[1]Субсидия_факт!EX15</f>
        <v>0</v>
      </c>
      <c r="AN17" s="506">
        <f>[1]Субсидия_факт!FJ15</f>
        <v>0</v>
      </c>
      <c r="AO17" s="525">
        <f>[1]Субсидия_факт!LT15</f>
        <v>0</v>
      </c>
      <c r="AP17" s="622">
        <f>[1]Субсидия_факт!LZ15</f>
        <v>0</v>
      </c>
      <c r="AQ17" s="748">
        <f t="shared" si="109"/>
        <v>0</v>
      </c>
      <c r="AR17" s="474"/>
      <c r="AS17" s="474"/>
      <c r="AT17" s="474"/>
      <c r="AU17" s="474"/>
      <c r="AV17" s="531"/>
      <c r="AW17" s="498">
        <f t="shared" si="10"/>
        <v>0</v>
      </c>
      <c r="AX17" s="525">
        <f>[1]Субсидия_факт!CF15</f>
        <v>0</v>
      </c>
      <c r="AY17" s="508">
        <f>[1]Субсидия_факт!FB15</f>
        <v>0</v>
      </c>
      <c r="AZ17" s="646">
        <f>[1]Субсидия_факт!LV15</f>
        <v>0</v>
      </c>
      <c r="BA17" s="466">
        <f t="shared" si="11"/>
        <v>0</v>
      </c>
      <c r="BB17" s="531"/>
      <c r="BC17" s="531"/>
      <c r="BD17" s="532"/>
      <c r="BE17" s="669">
        <f t="shared" si="12"/>
        <v>0</v>
      </c>
      <c r="BF17" s="652">
        <f t="shared" si="13"/>
        <v>0</v>
      </c>
      <c r="BG17" s="464">
        <f t="shared" si="14"/>
        <v>0</v>
      </c>
      <c r="BH17" s="341">
        <f t="shared" si="15"/>
        <v>0</v>
      </c>
      <c r="BI17" s="669">
        <f t="shared" si="16"/>
        <v>0</v>
      </c>
      <c r="BJ17" s="622">
        <f t="shared" si="17"/>
        <v>0</v>
      </c>
      <c r="BK17" s="506">
        <f t="shared" si="18"/>
        <v>0</v>
      </c>
      <c r="BL17" s="341">
        <f t="shared" si="19"/>
        <v>0</v>
      </c>
      <c r="BM17" s="667">
        <f t="shared" si="20"/>
        <v>0</v>
      </c>
      <c r="BN17" s="525">
        <f>[1]Субсидия_факт!CH15</f>
        <v>0</v>
      </c>
      <c r="BO17" s="508">
        <f>[1]Субсидия_факт!FD15</f>
        <v>0</v>
      </c>
      <c r="BP17" s="646">
        <f>[1]Субсидия_факт!LX15</f>
        <v>0</v>
      </c>
      <c r="BQ17" s="669">
        <f t="shared" si="21"/>
        <v>0</v>
      </c>
      <c r="BR17" s="532"/>
      <c r="BS17" s="531"/>
      <c r="BT17" s="532"/>
      <c r="BU17" s="521">
        <f t="shared" si="110"/>
        <v>62234499.759999998</v>
      </c>
      <c r="BV17" s="562">
        <f>[1]Субсидия_факт!HB15</f>
        <v>33728627.649999999</v>
      </c>
      <c r="BW17" s="516">
        <f>[1]Субсидия_факт!HH15</f>
        <v>28505872.109999999</v>
      </c>
      <c r="BX17" s="531">
        <f>[1]Субсидия_факт!HP15</f>
        <v>0</v>
      </c>
      <c r="BY17" s="562">
        <f>[1]Субсидия_факт!HV15</f>
        <v>0</v>
      </c>
      <c r="BZ17" s="521">
        <f t="shared" si="111"/>
        <v>34353647.920000002</v>
      </c>
      <c r="CA17" s="531">
        <v>11936696.77</v>
      </c>
      <c r="CB17" s="531">
        <v>22416951.149999999</v>
      </c>
      <c r="CC17" s="625"/>
      <c r="CD17" s="625"/>
      <c r="CE17" s="526">
        <f t="shared" si="112"/>
        <v>0</v>
      </c>
      <c r="CF17" s="525">
        <f>[1]Субсидия_факт!HD15</f>
        <v>0</v>
      </c>
      <c r="CG17" s="525">
        <f>[1]Субсидия_факт!HJ15</f>
        <v>0</v>
      </c>
      <c r="CH17" s="531">
        <f>[1]Субсидия_факт!HR15</f>
        <v>0</v>
      </c>
      <c r="CI17" s="646">
        <f>[1]Субсидия_факт!HX15</f>
        <v>0</v>
      </c>
      <c r="CJ17" s="521">
        <f t="shared" si="113"/>
        <v>0</v>
      </c>
      <c r="CK17" s="531"/>
      <c r="CL17" s="532"/>
      <c r="CM17" s="625"/>
      <c r="CN17" s="724"/>
      <c r="CO17" s="530">
        <f t="shared" si="22"/>
        <v>0</v>
      </c>
      <c r="CP17" s="528">
        <f t="shared" si="23"/>
        <v>0</v>
      </c>
      <c r="CQ17" s="527">
        <f t="shared" si="114"/>
        <v>0</v>
      </c>
      <c r="CR17" s="530">
        <f t="shared" si="115"/>
        <v>0</v>
      </c>
      <c r="CS17" s="521">
        <f>[1]Субсидия_факт!FL15</f>
        <v>0</v>
      </c>
      <c r="CT17" s="620"/>
      <c r="CU17" s="521">
        <f>[1]Субсидия_факт!FN15</f>
        <v>0</v>
      </c>
      <c r="CV17" s="620"/>
      <c r="CW17" s="528">
        <f t="shared" si="24"/>
        <v>0</v>
      </c>
      <c r="CX17" s="527">
        <f t="shared" si="25"/>
        <v>0</v>
      </c>
      <c r="CY17" s="587">
        <f>[1]Субсидия_факт!FP15</f>
        <v>0</v>
      </c>
      <c r="CZ17" s="1480">
        <f t="shared" si="205"/>
        <v>0</v>
      </c>
      <c r="DA17" s="526">
        <f>[1]Субсидия_факт!FR15</f>
        <v>0</v>
      </c>
      <c r="DB17" s="339"/>
      <c r="DC17" s="524">
        <f>[1]Субсидия_факт!FT15</f>
        <v>0</v>
      </c>
      <c r="DD17" s="339"/>
      <c r="DE17" s="1238">
        <f t="shared" si="26"/>
        <v>0</v>
      </c>
      <c r="DF17" s="528">
        <f t="shared" si="27"/>
        <v>0</v>
      </c>
      <c r="DG17" s="663">
        <f>[1]Субсидия_факт!FV15</f>
        <v>0</v>
      </c>
      <c r="DH17" s="1478">
        <f t="shared" si="116"/>
        <v>0</v>
      </c>
      <c r="DI17" s="498">
        <f t="shared" si="117"/>
        <v>0</v>
      </c>
      <c r="DJ17" s="625">
        <f>[1]Субсидия_факт!EV15</f>
        <v>0</v>
      </c>
      <c r="DK17" s="516">
        <f>[1]Субсидия_факт!EL15</f>
        <v>0</v>
      </c>
      <c r="DL17" s="838">
        <f>[1]Субсидия_факт!EN15</f>
        <v>0</v>
      </c>
      <c r="DM17" s="466">
        <f t="shared" si="118"/>
        <v>0</v>
      </c>
      <c r="DN17" s="625"/>
      <c r="DO17" s="625"/>
      <c r="DP17" s="987"/>
      <c r="DQ17" s="526">
        <f t="shared" si="28"/>
        <v>0</v>
      </c>
      <c r="DR17" s="508">
        <f>[1]Субсидия_факт!N15</f>
        <v>0</v>
      </c>
      <c r="DS17" s="652">
        <f>[1]Субсидия_факт!P15</f>
        <v>0</v>
      </c>
      <c r="DT17" s="682">
        <f>[1]Субсидия_факт!R15</f>
        <v>0</v>
      </c>
      <c r="DU17" s="506">
        <f>[1]Субсидия_факт!T15</f>
        <v>0</v>
      </c>
      <c r="DV17" s="689">
        <f>[1]Субсидия_факт!V15</f>
        <v>0</v>
      </c>
      <c r="DW17" s="506">
        <f>[1]Субсидия_факт!X15</f>
        <v>0</v>
      </c>
      <c r="DX17" s="521">
        <f t="shared" si="29"/>
        <v>0</v>
      </c>
      <c r="DY17" s="532"/>
      <c r="DZ17" s="531"/>
      <c r="EA17" s="686"/>
      <c r="EB17" s="531"/>
      <c r="EC17" s="686"/>
      <c r="ED17" s="531"/>
      <c r="EE17" s="498">
        <f t="shared" si="30"/>
        <v>0</v>
      </c>
      <c r="EF17" s="516">
        <f>[1]Субсидия_факт!BL15</f>
        <v>0</v>
      </c>
      <c r="EG17" s="838">
        <f>[1]Субсидия_факт!BN15</f>
        <v>0</v>
      </c>
      <c r="EH17" s="466">
        <f t="shared" si="31"/>
        <v>0</v>
      </c>
      <c r="EI17" s="772"/>
      <c r="EJ17" s="987"/>
      <c r="EK17" s="526">
        <f t="shared" si="32"/>
        <v>2427000</v>
      </c>
      <c r="EL17" s="525">
        <f>[1]Субсидия_факт!AF15</f>
        <v>121350</v>
      </c>
      <c r="EM17" s="689">
        <f>[1]Субсидия_факт!AH15</f>
        <v>2305650</v>
      </c>
      <c r="EN17" s="506">
        <f>[1]Субсидия_факт!AJ15</f>
        <v>0</v>
      </c>
      <c r="EO17" s="866">
        <f>[1]Субсидия_факт!AL15</f>
        <v>0</v>
      </c>
      <c r="EP17" s="622">
        <f>[1]Субсидия_факт!AN15</f>
        <v>0</v>
      </c>
      <c r="EQ17" s="712">
        <f>[1]Субсидия_факт!AP15</f>
        <v>0</v>
      </c>
      <c r="ER17" s="521">
        <f t="shared" si="33"/>
        <v>481340.31</v>
      </c>
      <c r="ES17" s="474">
        <v>24067.02</v>
      </c>
      <c r="ET17" s="686">
        <v>457273.29</v>
      </c>
      <c r="EU17" s="474"/>
      <c r="EV17" s="686"/>
      <c r="EW17" s="474"/>
      <c r="EX17" s="686"/>
      <c r="EY17" s="498">
        <f t="shared" si="34"/>
        <v>0</v>
      </c>
      <c r="EZ17" s="516">
        <f>[1]Субсидия_факт!AV15</f>
        <v>0</v>
      </c>
      <c r="FA17" s="752">
        <f>[1]Субсидия_факт!AX15</f>
        <v>0</v>
      </c>
      <c r="FB17" s="466">
        <f t="shared" si="35"/>
        <v>0</v>
      </c>
      <c r="FC17" s="772"/>
      <c r="FD17" s="678"/>
      <c r="FE17" s="498">
        <f t="shared" si="36"/>
        <v>0</v>
      </c>
      <c r="FF17" s="516">
        <f>[1]Субсидия_факт!BT15</f>
        <v>0</v>
      </c>
      <c r="FG17" s="838">
        <f>[1]Субсидия_факт!BV15</f>
        <v>0</v>
      </c>
      <c r="FH17" s="466">
        <f t="shared" si="37"/>
        <v>0</v>
      </c>
      <c r="FI17" s="772"/>
      <c r="FJ17" s="678"/>
      <c r="FK17" s="498">
        <f t="shared" si="38"/>
        <v>0</v>
      </c>
      <c r="FL17" s="516">
        <f>[1]Субсидия_факт!BP15</f>
        <v>0</v>
      </c>
      <c r="FM17" s="838">
        <f>[1]Субсидия_факт!BR15</f>
        <v>0</v>
      </c>
      <c r="FN17" s="466">
        <f t="shared" si="39"/>
        <v>0</v>
      </c>
      <c r="FO17" s="772"/>
      <c r="FP17" s="678"/>
      <c r="FQ17" s="498">
        <f t="shared" si="40"/>
        <v>0</v>
      </c>
      <c r="FR17" s="516">
        <f>[1]Субсидия_факт!IV15</f>
        <v>0</v>
      </c>
      <c r="FS17" s="838">
        <f>[1]Субсидия_факт!IX15</f>
        <v>0</v>
      </c>
      <c r="FT17" s="466">
        <f t="shared" si="41"/>
        <v>0</v>
      </c>
      <c r="FU17" s="772"/>
      <c r="FV17" s="678"/>
      <c r="FW17" s="498">
        <f t="shared" si="42"/>
        <v>0</v>
      </c>
      <c r="FX17" s="516">
        <f>[1]Субсидия_факт!IZ15</f>
        <v>0</v>
      </c>
      <c r="FY17" s="838">
        <f>[1]Субсидия_факт!JD15</f>
        <v>0</v>
      </c>
      <c r="FZ17" s="466">
        <f t="shared" si="43"/>
        <v>0</v>
      </c>
      <c r="GA17" s="772"/>
      <c r="GB17" s="678"/>
      <c r="GC17" s="667">
        <f t="shared" si="119"/>
        <v>0</v>
      </c>
      <c r="GD17" s="669">
        <f t="shared" si="120"/>
        <v>0</v>
      </c>
      <c r="GE17" s="667">
        <f t="shared" si="121"/>
        <v>0</v>
      </c>
      <c r="GF17" s="669">
        <f t="shared" si="122"/>
        <v>0</v>
      </c>
      <c r="GG17" s="498">
        <f t="shared" si="123"/>
        <v>0</v>
      </c>
      <c r="GH17" s="1251">
        <f>[1]Субсидия_факт!BH15</f>
        <v>0</v>
      </c>
      <c r="GI17" s="676">
        <f>[1]Субсидия_факт!BJ15</f>
        <v>0</v>
      </c>
      <c r="GJ17" s="498">
        <f t="shared" si="124"/>
        <v>0</v>
      </c>
      <c r="GK17" s="724"/>
      <c r="GL17" s="678"/>
      <c r="GM17" s="498">
        <f t="shared" si="44"/>
        <v>0</v>
      </c>
      <c r="GN17" s="516"/>
      <c r="GO17" s="838"/>
      <c r="GP17" s="466">
        <f t="shared" si="45"/>
        <v>0</v>
      </c>
      <c r="GQ17" s="724"/>
      <c r="GR17" s="678"/>
      <c r="GS17" s="498">
        <f t="shared" si="46"/>
        <v>1517992</v>
      </c>
      <c r="GT17" s="516">
        <f>[1]Субсидия_факт!FZ15</f>
        <v>758528.25</v>
      </c>
      <c r="GU17" s="838">
        <f>[1]Субсидия_факт!GD15</f>
        <v>759463.75</v>
      </c>
      <c r="GV17" s="466">
        <f t="shared" si="47"/>
        <v>342345.01</v>
      </c>
      <c r="GW17" s="724">
        <v>171067.02</v>
      </c>
      <c r="GX17" s="678">
        <v>171277.99</v>
      </c>
      <c r="GY17" s="667">
        <f t="shared" si="48"/>
        <v>1517992</v>
      </c>
      <c r="GZ17" s="516">
        <f t="shared" si="125"/>
        <v>758528.25</v>
      </c>
      <c r="HA17" s="838">
        <f t="shared" si="125"/>
        <v>759463.75</v>
      </c>
      <c r="HB17" s="669">
        <f t="shared" si="49"/>
        <v>342345.01</v>
      </c>
      <c r="HC17" s="516">
        <f t="shared" si="125"/>
        <v>171067.02</v>
      </c>
      <c r="HD17" s="838">
        <f t="shared" si="125"/>
        <v>171277.99</v>
      </c>
      <c r="HE17" s="667">
        <f t="shared" si="50"/>
        <v>0</v>
      </c>
      <c r="HF17" s="516">
        <f>[1]Субсидия_факт!GB15</f>
        <v>0</v>
      </c>
      <c r="HG17" s="838">
        <f>[1]Субсидия_факт!GF15</f>
        <v>0</v>
      </c>
      <c r="HH17" s="669">
        <f t="shared" si="51"/>
        <v>0</v>
      </c>
      <c r="HI17" s="724"/>
      <c r="HJ17" s="678"/>
      <c r="HK17" s="526">
        <f t="shared" si="126"/>
        <v>0</v>
      </c>
      <c r="HL17" s="518">
        <f>[1]Субсидия_факт!DD15</f>
        <v>0</v>
      </c>
      <c r="HM17" s="752">
        <f>[1]Субсидия_факт!DF15</f>
        <v>0</v>
      </c>
      <c r="HN17" s="521">
        <f t="shared" si="127"/>
        <v>0</v>
      </c>
      <c r="HO17" s="531"/>
      <c r="HP17" s="706"/>
      <c r="HQ17" s="579">
        <f t="shared" si="54"/>
        <v>225217.37</v>
      </c>
      <c r="HR17" s="516">
        <f>[1]Субсидия_факт!CR15</f>
        <v>63060.869999999995</v>
      </c>
      <c r="HS17" s="838">
        <f>[1]Субсидия_факт!CX15</f>
        <v>162156.5</v>
      </c>
      <c r="HT17" s="466">
        <f t="shared" si="55"/>
        <v>225217.37</v>
      </c>
      <c r="HU17" s="1251">
        <f t="shared" si="202"/>
        <v>63060.869999999995</v>
      </c>
      <c r="HV17" s="1519">
        <f t="shared" si="202"/>
        <v>162156.5</v>
      </c>
      <c r="HW17" s="466">
        <f t="shared" si="56"/>
        <v>1526914.4</v>
      </c>
      <c r="HX17" s="516">
        <f>[1]Субсидия_факт!CT15</f>
        <v>427536.08999999997</v>
      </c>
      <c r="HY17" s="752">
        <f>[1]Субсидия_факт!CZ15</f>
        <v>1099378.31</v>
      </c>
      <c r="HZ17" s="466">
        <f t="shared" si="57"/>
        <v>1526914.4000000001</v>
      </c>
      <c r="IA17" s="757">
        <f t="shared" si="128"/>
        <v>427536.09</v>
      </c>
      <c r="IB17" s="789">
        <f t="shared" si="129"/>
        <v>1099378.31</v>
      </c>
      <c r="IC17" s="625">
        <v>490596.96</v>
      </c>
      <c r="ID17" s="709">
        <v>1261534.81</v>
      </c>
      <c r="IE17" s="669">
        <f t="shared" si="58"/>
        <v>1526914.4</v>
      </c>
      <c r="IF17" s="750">
        <f>'Проверочная  таблица'!HX17-'Проверочная  таблица'!IL17</f>
        <v>427536.08999999997</v>
      </c>
      <c r="IG17" s="676">
        <f>'Проверочная  таблица'!HY17-'Проверочная  таблица'!IM17</f>
        <v>1099378.31</v>
      </c>
      <c r="IH17" s="663">
        <f t="shared" si="59"/>
        <v>1526914.4000000001</v>
      </c>
      <c r="II17" s="757">
        <f>'Проверочная  таблица'!IA17-'Проверочная  таблица'!IO17</f>
        <v>427536.09</v>
      </c>
      <c r="IJ17" s="768">
        <f>'Проверочная  таблица'!IB17-'Проверочная  таблица'!IP17</f>
        <v>1099378.31</v>
      </c>
      <c r="IK17" s="669">
        <f t="shared" si="60"/>
        <v>0</v>
      </c>
      <c r="IL17" s="516">
        <f>[1]Субсидия_факт!CV15</f>
        <v>0</v>
      </c>
      <c r="IM17" s="838">
        <f>[1]Субсидия_факт!DB15</f>
        <v>0</v>
      </c>
      <c r="IN17" s="669">
        <f t="shared" si="61"/>
        <v>0</v>
      </c>
      <c r="IO17" s="724"/>
      <c r="IP17" s="678"/>
      <c r="IQ17" s="466">
        <f t="shared" si="130"/>
        <v>0</v>
      </c>
      <c r="IR17" s="757">
        <f>[1]Субсидия_факт!CJ15</f>
        <v>0</v>
      </c>
      <c r="IS17" s="676">
        <f>[1]Субсидия_факт!CN15</f>
        <v>0</v>
      </c>
      <c r="IT17" s="757">
        <f>[1]Субсидия_факт!DH15</f>
        <v>0</v>
      </c>
      <c r="IU17" s="676">
        <f>[1]Субсидия_факт!DN15</f>
        <v>0</v>
      </c>
      <c r="IV17" s="525">
        <f>[1]Субсидия_факт!DX15</f>
        <v>0</v>
      </c>
      <c r="IW17" s="689">
        <f>[1]Субсидия_факт!DZ15</f>
        <v>0</v>
      </c>
      <c r="IX17" s="1295">
        <f>[1]Субсидия_факт!DT15</f>
        <v>0</v>
      </c>
      <c r="IY17" s="676">
        <f>[1]Субсидия_факт!DV15</f>
        <v>0</v>
      </c>
      <c r="IZ17" s="516">
        <f>[1]Субсидия_факт!EB15</f>
        <v>0</v>
      </c>
      <c r="JA17" s="466">
        <f t="shared" si="131"/>
        <v>0</v>
      </c>
      <c r="JB17" s="625"/>
      <c r="JC17" s="678"/>
      <c r="JD17" s="625"/>
      <c r="JE17" s="678"/>
      <c r="JF17" s="531"/>
      <c r="JG17" s="706"/>
      <c r="JH17" s="625"/>
      <c r="JI17" s="678"/>
      <c r="JJ17" s="757">
        <f t="shared" si="132"/>
        <v>0</v>
      </c>
      <c r="JK17" s="748">
        <f t="shared" si="133"/>
        <v>0</v>
      </c>
      <c r="JL17" s="757">
        <f>[1]Субсидия_факт!CL15</f>
        <v>0</v>
      </c>
      <c r="JM17" s="676">
        <f>[1]Субсидия_факт!CP15</f>
        <v>0</v>
      </c>
      <c r="JN17" s="757">
        <f>[1]Субсидия_факт!DJ15</f>
        <v>0</v>
      </c>
      <c r="JO17" s="676">
        <f>[1]Субсидия_факт!DP15</f>
        <v>0</v>
      </c>
      <c r="JP17" s="748">
        <f t="shared" si="134"/>
        <v>0</v>
      </c>
      <c r="JQ17" s="625"/>
      <c r="JR17" s="678"/>
      <c r="JS17" s="625"/>
      <c r="JT17" s="678"/>
      <c r="JU17" s="587">
        <f t="shared" si="135"/>
        <v>0</v>
      </c>
      <c r="JV17" s="757">
        <f>'Проверочная  таблица'!JL17-KF17</f>
        <v>0</v>
      </c>
      <c r="JW17" s="676">
        <f>'Проверочная  таблица'!JM17-KG17</f>
        <v>0</v>
      </c>
      <c r="JX17" s="757">
        <f>'Проверочная  таблица'!JN17-KH17</f>
        <v>0</v>
      </c>
      <c r="JY17" s="676">
        <f>'Проверочная  таблица'!JO17-KI17</f>
        <v>0</v>
      </c>
      <c r="JZ17" s="587">
        <f t="shared" si="136"/>
        <v>0</v>
      </c>
      <c r="KA17" s="757">
        <f>'Проверочная  таблица'!JQ17-KK17</f>
        <v>0</v>
      </c>
      <c r="KB17" s="676">
        <f>'Проверочная  таблица'!JR17-KL17</f>
        <v>0</v>
      </c>
      <c r="KC17" s="757">
        <f>'Проверочная  таблица'!JS17-KM17</f>
        <v>0</v>
      </c>
      <c r="KD17" s="789">
        <f>'Проверочная  таблица'!JT17-KN17</f>
        <v>0</v>
      </c>
      <c r="KE17" s="587">
        <f t="shared" si="137"/>
        <v>0</v>
      </c>
      <c r="KF17" s="625"/>
      <c r="KG17" s="678"/>
      <c r="KH17" s="757">
        <f>[1]Субсидия_факт!DL15</f>
        <v>0</v>
      </c>
      <c r="KI17" s="1519">
        <f>[1]Субсидия_факт!DR15</f>
        <v>0</v>
      </c>
      <c r="KJ17" s="587">
        <f t="shared" si="138"/>
        <v>0</v>
      </c>
      <c r="KK17" s="753"/>
      <c r="KL17" s="678"/>
      <c r="KM17" s="625"/>
      <c r="KN17" s="678"/>
      <c r="KO17" s="579">
        <f t="shared" si="139"/>
        <v>0</v>
      </c>
      <c r="KP17" s="516">
        <f>[1]Субсидия_факт!BX15</f>
        <v>0</v>
      </c>
      <c r="KQ17" s="838">
        <f>[1]Субсидия_факт!BZ15</f>
        <v>0</v>
      </c>
      <c r="KR17" s="516">
        <f>[1]Субсидия_факт!CB15</f>
        <v>0</v>
      </c>
      <c r="KS17" s="466">
        <f t="shared" si="140"/>
        <v>0</v>
      </c>
      <c r="KT17" s="625"/>
      <c r="KU17" s="678"/>
      <c r="KV17" s="625"/>
      <c r="KW17" s="498">
        <f t="shared" si="62"/>
        <v>0</v>
      </c>
      <c r="KX17" s="508">
        <f>[1]Субсидия_факт!GN15</f>
        <v>0</v>
      </c>
      <c r="KY17" s="466">
        <f t="shared" si="63"/>
        <v>0</v>
      </c>
      <c r="KZ17" s="625"/>
      <c r="LA17" s="754">
        <f t="shared" si="206"/>
        <v>0</v>
      </c>
      <c r="LB17" s="516">
        <f>[1]Субсидия_факт!JT15</f>
        <v>0</v>
      </c>
      <c r="LC17" s="838">
        <f>[1]Субсидия_факт!JZ15</f>
        <v>0</v>
      </c>
      <c r="LD17" s="508"/>
      <c r="LE17" s="754">
        <f t="shared" si="207"/>
        <v>0</v>
      </c>
      <c r="LF17" s="772"/>
      <c r="LG17" s="678"/>
      <c r="LH17" s="625"/>
      <c r="LI17" s="754">
        <f t="shared" si="141"/>
        <v>3000000</v>
      </c>
      <c r="LJ17" s="516">
        <f>[1]Субсидия_факт!JV15</f>
        <v>0</v>
      </c>
      <c r="LK17" s="838">
        <f>[1]Субсидия_факт!KB15</f>
        <v>0</v>
      </c>
      <c r="LL17" s="518">
        <f>[1]Субсидия_факт!KF15</f>
        <v>3000000</v>
      </c>
      <c r="LM17" s="754">
        <f t="shared" si="142"/>
        <v>716801.84</v>
      </c>
      <c r="LN17" s="625"/>
      <c r="LO17" s="771"/>
      <c r="LP17" s="625">
        <v>716801.84</v>
      </c>
      <c r="LQ17" s="756">
        <f t="shared" si="143"/>
        <v>3000000</v>
      </c>
      <c r="LR17" s="652">
        <f>'Проверочная  таблица'!LJ17-LZ17</f>
        <v>0</v>
      </c>
      <c r="LS17" s="682">
        <f>'Проверочная  таблица'!LK17-MA17</f>
        <v>0</v>
      </c>
      <c r="LT17" s="622">
        <f>'Проверочная  таблица'!LL17-MB17</f>
        <v>3000000</v>
      </c>
      <c r="LU17" s="756">
        <f t="shared" si="144"/>
        <v>716801.84</v>
      </c>
      <c r="LV17" s="750">
        <f>'Проверочная  таблица'!LN17-MD17</f>
        <v>0</v>
      </c>
      <c r="LW17" s="676">
        <f>'Проверочная  таблица'!LO17-ME17</f>
        <v>0</v>
      </c>
      <c r="LX17" s="757">
        <f>'Проверочная  таблица'!LP17-MF17</f>
        <v>716801.84</v>
      </c>
      <c r="LY17" s="756">
        <f t="shared" si="145"/>
        <v>0</v>
      </c>
      <c r="LZ17" s="516">
        <f>[1]Субсидия_факт!JX15</f>
        <v>0</v>
      </c>
      <c r="MA17" s="838">
        <f>[1]Субсидия_факт!KD15</f>
        <v>0</v>
      </c>
      <c r="MB17" s="516">
        <f>[1]Субсидия_факт!KH15</f>
        <v>0</v>
      </c>
      <c r="MC17" s="756">
        <f t="shared" si="146"/>
        <v>0</v>
      </c>
      <c r="MD17" s="750">
        <f t="shared" si="203"/>
        <v>0</v>
      </c>
      <c r="ME17" s="676">
        <f t="shared" si="204"/>
        <v>0</v>
      </c>
      <c r="MF17" s="516"/>
      <c r="MG17" s="521">
        <f t="shared" si="147"/>
        <v>937687.5199999999</v>
      </c>
      <c r="MH17" s="652">
        <f>[1]Субсидия_факт!KR15</f>
        <v>46884.380000000005</v>
      </c>
      <c r="MI17" s="682">
        <f>[1]Субсидия_факт!KV15</f>
        <v>890803.1399999999</v>
      </c>
      <c r="MJ17" s="750">
        <f>[1]Субсидия_факт!KZ15</f>
        <v>0</v>
      </c>
      <c r="MK17" s="1519">
        <f>[1]Субсидия_факт!LD15</f>
        <v>0</v>
      </c>
      <c r="ML17" s="521">
        <f t="shared" si="148"/>
        <v>0</v>
      </c>
      <c r="MM17" s="1609">
        <v>0</v>
      </c>
      <c r="MN17" s="706">
        <v>0</v>
      </c>
      <c r="MO17" s="342"/>
      <c r="MP17" s="770"/>
      <c r="MQ17" s="587">
        <f t="shared" si="149"/>
        <v>937687.5199999999</v>
      </c>
      <c r="MR17" s="1613">
        <f t="shared" si="64"/>
        <v>46884.380000000005</v>
      </c>
      <c r="MS17" s="682">
        <f t="shared" si="65"/>
        <v>890803.1399999999</v>
      </c>
      <c r="MT17" s="487">
        <f t="shared" si="66"/>
        <v>0</v>
      </c>
      <c r="MU17" s="682">
        <f t="shared" si="67"/>
        <v>0</v>
      </c>
      <c r="MV17" s="587">
        <f t="shared" si="150"/>
        <v>0</v>
      </c>
      <c r="MW17" s="487">
        <f t="shared" si="68"/>
        <v>0</v>
      </c>
      <c r="MX17" s="682">
        <f t="shared" si="69"/>
        <v>0</v>
      </c>
      <c r="MY17" s="487">
        <f t="shared" si="70"/>
        <v>0</v>
      </c>
      <c r="MZ17" s="682">
        <f t="shared" si="71"/>
        <v>0</v>
      </c>
      <c r="NA17" s="587">
        <f t="shared" si="151"/>
        <v>0</v>
      </c>
      <c r="NB17" s="1079">
        <f>[1]Субсидия_факт!KT15</f>
        <v>0</v>
      </c>
      <c r="NC17" s="682">
        <f>[1]Субсидия_факт!KX15</f>
        <v>0</v>
      </c>
      <c r="ND17" s="625">
        <f>[1]Субсидия_факт!LB15</f>
        <v>0</v>
      </c>
      <c r="NE17" s="709">
        <f>[1]Субсидия_факт!LF15</f>
        <v>0</v>
      </c>
      <c r="NF17" s="587">
        <f t="shared" si="152"/>
        <v>0</v>
      </c>
      <c r="NG17" s="487"/>
      <c r="NH17" s="712"/>
      <c r="NI17" s="342"/>
      <c r="NJ17" s="706"/>
      <c r="NK17" s="498">
        <f t="shared" si="72"/>
        <v>0</v>
      </c>
      <c r="NL17" s="516">
        <f>[1]Субсидия_факт!AB15</f>
        <v>0</v>
      </c>
      <c r="NM17" s="838">
        <f>[1]Субсидия_факт!AD15</f>
        <v>0</v>
      </c>
      <c r="NN17" s="466">
        <f t="shared" si="73"/>
        <v>0</v>
      </c>
      <c r="NO17" s="772"/>
      <c r="NP17" s="987"/>
      <c r="NQ17" s="521">
        <f t="shared" si="153"/>
        <v>0</v>
      </c>
      <c r="NR17" s="506">
        <f>[1]Субсидия_факт!LH15</f>
        <v>0</v>
      </c>
      <c r="NS17" s="866">
        <f>[1]Субсидия_факт!LJ15</f>
        <v>0</v>
      </c>
      <c r="NT17" s="525">
        <f>[1]Субсидия_факт!MN15</f>
        <v>0</v>
      </c>
      <c r="NU17" s="689">
        <f>[1]Субсидия_факт!MP15</f>
        <v>0</v>
      </c>
      <c r="NV17" s="1147">
        <f>[1]Субсидия_факт!MB15</f>
        <v>0</v>
      </c>
      <c r="NW17" s="682">
        <f>[1]Субсидия_факт!MH15</f>
        <v>0</v>
      </c>
      <c r="NX17" s="521">
        <f t="shared" si="154"/>
        <v>0</v>
      </c>
      <c r="NY17" s="474"/>
      <c r="NZ17" s="686"/>
      <c r="OA17" s="474"/>
      <c r="OB17" s="686"/>
      <c r="OC17" s="342"/>
      <c r="OD17" s="1279"/>
      <c r="OE17" s="521">
        <f t="shared" si="155"/>
        <v>0</v>
      </c>
      <c r="OF17" s="652">
        <f>[1]Субсидия_факт!KJ15</f>
        <v>0</v>
      </c>
      <c r="OG17" s="682">
        <f>[1]Субсидия_факт!KN15</f>
        <v>0</v>
      </c>
      <c r="OH17" s="652">
        <f>[1]Субсидия_факт!LL15</f>
        <v>0</v>
      </c>
      <c r="OI17" s="682">
        <f>[1]Субсидия_факт!LP15</f>
        <v>0</v>
      </c>
      <c r="OJ17" s="652">
        <f>[1]Субсидия_факт!MD15</f>
        <v>0</v>
      </c>
      <c r="OK17" s="682">
        <f>[1]Субсидия_факт!MJ15</f>
        <v>0</v>
      </c>
      <c r="OL17" s="521">
        <f t="shared" si="156"/>
        <v>0</v>
      </c>
      <c r="OM17" s="487"/>
      <c r="ON17" s="712"/>
      <c r="OO17" s="474"/>
      <c r="OP17" s="686"/>
      <c r="OQ17" s="487"/>
      <c r="OR17" s="712"/>
      <c r="OS17" s="587">
        <f t="shared" si="157"/>
        <v>0</v>
      </c>
      <c r="OT17" s="1066">
        <f t="shared" si="74"/>
        <v>0</v>
      </c>
      <c r="OU17" s="682">
        <f t="shared" si="75"/>
        <v>0</v>
      </c>
      <c r="OV17" s="1066">
        <f t="shared" si="76"/>
        <v>0</v>
      </c>
      <c r="OW17" s="682">
        <f t="shared" si="77"/>
        <v>0</v>
      </c>
      <c r="OX17" s="1147">
        <f t="shared" si="78"/>
        <v>0</v>
      </c>
      <c r="OY17" s="682">
        <f t="shared" si="79"/>
        <v>0</v>
      </c>
      <c r="OZ17" s="587">
        <f t="shared" si="158"/>
        <v>0</v>
      </c>
      <c r="PA17" s="1066">
        <f t="shared" si="80"/>
        <v>0</v>
      </c>
      <c r="PB17" s="682">
        <f t="shared" si="81"/>
        <v>0</v>
      </c>
      <c r="PC17" s="1066">
        <f t="shared" si="82"/>
        <v>0</v>
      </c>
      <c r="PD17" s="682">
        <f t="shared" si="83"/>
        <v>0</v>
      </c>
      <c r="PE17" s="1147">
        <f t="shared" si="84"/>
        <v>0</v>
      </c>
      <c r="PF17" s="682">
        <f t="shared" si="85"/>
        <v>0</v>
      </c>
      <c r="PG17" s="587">
        <f t="shared" si="159"/>
        <v>0</v>
      </c>
      <c r="PH17" s="1079">
        <f>[1]Субсидия_факт!KL15</f>
        <v>0</v>
      </c>
      <c r="PI17" s="682">
        <f>[1]Субсидия_факт!KP15</f>
        <v>0</v>
      </c>
      <c r="PJ17" s="652">
        <f>[1]Субсидия_факт!LN15</f>
        <v>0</v>
      </c>
      <c r="PK17" s="682">
        <f>[1]Субсидия_факт!LR15</f>
        <v>0</v>
      </c>
      <c r="PL17" s="652">
        <f>[1]Субсидия_факт!MF15</f>
        <v>0</v>
      </c>
      <c r="PM17" s="682">
        <f>[1]Субсидия_факт!ML15</f>
        <v>0</v>
      </c>
      <c r="PN17" s="587">
        <f t="shared" si="160"/>
        <v>0</v>
      </c>
      <c r="PO17" s="487"/>
      <c r="PP17" s="712"/>
      <c r="PQ17" s="474"/>
      <c r="PR17" s="686"/>
      <c r="PS17" s="487"/>
      <c r="PT17" s="712"/>
      <c r="PU17" s="466">
        <f t="shared" si="161"/>
        <v>0</v>
      </c>
      <c r="PV17" s="516">
        <f>[1]Субсидия_факт!MR15</f>
        <v>0</v>
      </c>
      <c r="PW17" s="838">
        <f>[1]Субсидия_факт!MX15</f>
        <v>0</v>
      </c>
      <c r="PX17" s="466">
        <f t="shared" si="162"/>
        <v>0</v>
      </c>
      <c r="PY17" s="724"/>
      <c r="PZ17" s="678"/>
      <c r="QA17" s="579">
        <f t="shared" si="163"/>
        <v>0</v>
      </c>
      <c r="QB17" s="516">
        <f>[1]Субсидия_факт!MT15</f>
        <v>0</v>
      </c>
      <c r="QC17" s="838">
        <f>[1]Субсидия_факт!MZ15</f>
        <v>0</v>
      </c>
      <c r="QD17" s="466">
        <f t="shared" si="164"/>
        <v>0</v>
      </c>
      <c r="QE17" s="724"/>
      <c r="QF17" s="987"/>
      <c r="QG17" s="669">
        <f t="shared" si="165"/>
        <v>0</v>
      </c>
      <c r="QH17" s="516">
        <f t="shared" si="166"/>
        <v>0</v>
      </c>
      <c r="QI17" s="838">
        <f t="shared" si="167"/>
        <v>0</v>
      </c>
      <c r="QJ17" s="669">
        <f t="shared" si="168"/>
        <v>0</v>
      </c>
      <c r="QK17" s="516">
        <f t="shared" si="169"/>
        <v>0</v>
      </c>
      <c r="QL17" s="838">
        <f t="shared" si="170"/>
        <v>0</v>
      </c>
      <c r="QM17" s="669">
        <f t="shared" si="171"/>
        <v>0</v>
      </c>
      <c r="QN17" s="516">
        <f>[1]Субсидия_факт!MV15</f>
        <v>0</v>
      </c>
      <c r="QO17" s="838">
        <f>[1]Субсидия_факт!NB15</f>
        <v>0</v>
      </c>
      <c r="QP17" s="669">
        <f t="shared" si="172"/>
        <v>0</v>
      </c>
      <c r="QQ17" s="516">
        <f>[1]Субсидия_факт!NI15</f>
        <v>0</v>
      </c>
      <c r="QR17" s="752">
        <f>[1]Субсидия_факт!NO15</f>
        <v>0</v>
      </c>
      <c r="QS17" s="521">
        <f>'Прочая  субсидия_МР  и  ГО'!B13</f>
        <v>13067855.119999999</v>
      </c>
      <c r="QT17" s="521">
        <f>'Прочая  субсидия_МР  и  ГО'!C13</f>
        <v>8354190.459999999</v>
      </c>
      <c r="QU17" s="524">
        <f>'Прочая  субсидия_БП'!B13</f>
        <v>1782613.6</v>
      </c>
      <c r="QV17" s="526">
        <f>'Прочая  субсидия_БП'!C13</f>
        <v>157643.17000000001</v>
      </c>
      <c r="QW17" s="583">
        <f>'Прочая  субсидия_БП'!D13</f>
        <v>1782613.6</v>
      </c>
      <c r="QX17" s="582">
        <f>'Прочая  субсидия_БП'!E13</f>
        <v>157643.17000000001</v>
      </c>
      <c r="QY17" s="588">
        <f>'Прочая  субсидия_БП'!F13</f>
        <v>0</v>
      </c>
      <c r="QZ17" s="583">
        <f>'Прочая  субсидия_БП'!G13</f>
        <v>0</v>
      </c>
      <c r="RA17" s="526">
        <f t="shared" si="173"/>
        <v>235197991.47000003</v>
      </c>
      <c r="RB17" s="525">
        <f>'Проверочная  таблица'!SF17+'Проверочная  таблица'!RG17+'Проверочная  таблица'!RI17+'Проверочная  таблица'!RK17+RX17</f>
        <v>229439547.50000003</v>
      </c>
      <c r="RC17" s="508">
        <f>'Проверочная  таблица'!SG17+'Проверочная  таблица'!RM17+'Проверочная  таблица'!RS17+'Проверочная  таблица'!RO17+'Проверочная  таблица'!RQ17+RU17+RY17+SC17</f>
        <v>5758443.9699999997</v>
      </c>
      <c r="RD17" s="521">
        <f t="shared" si="174"/>
        <v>166999970.44999999</v>
      </c>
      <c r="RE17" s="506">
        <f>'Проверочная  таблица'!SI17+'Проверочная  таблица'!RH17+'Проверочная  таблица'!RJ17+'Проверочная  таблица'!RL17+SA17</f>
        <v>164209873.38999999</v>
      </c>
      <c r="RF17" s="508">
        <f>'Проверочная  таблица'!SJ17+'Проверочная  таблица'!RN17+'Проверочная  таблица'!RT17+'Проверочная  таблица'!RP17+'Проверочная  таблица'!RR17+RV17+SB17+SD17</f>
        <v>2790097.06</v>
      </c>
      <c r="RG17" s="579">
        <f>'Субвенция  на  полномочия'!B13</f>
        <v>216466557.61000004</v>
      </c>
      <c r="RH17" s="466">
        <f>'Субвенция  на  полномочия'!C13</f>
        <v>155364250.16</v>
      </c>
      <c r="RI17" s="733">
        <f>[1]Субвенция_факт!Q14*1000</f>
        <v>9700227</v>
      </c>
      <c r="RJ17" s="736">
        <v>7025000</v>
      </c>
      <c r="RK17" s="733">
        <f>[1]Субвенция_факт!J14*1000</f>
        <v>1216270</v>
      </c>
      <c r="RL17" s="736">
        <v>673000</v>
      </c>
      <c r="RM17" s="733">
        <f>[1]Субвенция_факт!AE14*1000</f>
        <v>1146600</v>
      </c>
      <c r="RN17" s="736">
        <v>770169.83</v>
      </c>
      <c r="RO17" s="733">
        <f>[1]Субвенция_факт!AF14*1000</f>
        <v>5000</v>
      </c>
      <c r="RP17" s="736">
        <v>5000</v>
      </c>
      <c r="RQ17" s="733">
        <f>[1]Субвенция_факт!E14*1000</f>
        <v>0</v>
      </c>
      <c r="RR17" s="736"/>
      <c r="RS17" s="733">
        <f>[1]Субвенция_факт!F14*1000</f>
        <v>0</v>
      </c>
      <c r="RT17" s="827"/>
      <c r="RU17" s="170">
        <f>[1]Субвенция_факт!G14*1000</f>
        <v>0</v>
      </c>
      <c r="RV17" s="1109"/>
      <c r="RW17" s="521">
        <f t="shared" si="88"/>
        <v>4851760.33</v>
      </c>
      <c r="RX17" s="622">
        <f>[1]Субвенция_факт!N14*1000</f>
        <v>1358492.89</v>
      </c>
      <c r="RY17" s="682">
        <f>[1]Субвенция_факт!O14*1000</f>
        <v>3493267.44</v>
      </c>
      <c r="RZ17" s="521">
        <f t="shared" si="89"/>
        <v>2012940.1</v>
      </c>
      <c r="SA17" s="773">
        <v>563623.23</v>
      </c>
      <c r="SB17" s="1279">
        <v>1449316.87</v>
      </c>
      <c r="SC17" s="170">
        <f>[1]Субвенция_факт!AG14*1000</f>
        <v>263576.52999999997</v>
      </c>
      <c r="SD17" s="1277"/>
      <c r="SE17" s="498">
        <f t="shared" si="175"/>
        <v>1548000</v>
      </c>
      <c r="SF17" s="833">
        <f>[1]Субвенция_факт!AD14*1000</f>
        <v>698000</v>
      </c>
      <c r="SG17" s="1562">
        <f>[1]Субвенция_факт!AC14*1000</f>
        <v>850000</v>
      </c>
      <c r="SH17" s="521">
        <f t="shared" si="176"/>
        <v>1149610.3599999999</v>
      </c>
      <c r="SI17" s="1557">
        <v>584000</v>
      </c>
      <c r="SJ17" s="1635">
        <v>565610.36</v>
      </c>
      <c r="SK17" s="280">
        <f>'Проверочная  таблица'!VC17+'Проверочная  таблица'!UO17+'Проверочная  таблица'!SY17+'Проверочная  таблица'!TC17+UA17+UG17+TK17+TQ17+SM17+SS17</f>
        <v>29852656.299999997</v>
      </c>
      <c r="SL17" s="170">
        <f>'Проверочная  таблица'!VF17+'Проверочная  таблица'!UV17+'Проверочная  таблица'!TA17+'Проверочная  таблица'!TE17+UD17+UK17+TN17+TT17+SP17+SV17</f>
        <v>24829627.18</v>
      </c>
      <c r="SM17" s="524">
        <f t="shared" si="92"/>
        <v>10389960</v>
      </c>
      <c r="SN17" s="833">
        <f>'[1]Иные межбюджетные трансферты'!I15</f>
        <v>0</v>
      </c>
      <c r="SO17" s="880">
        <f>'[1]Иные межбюджетные трансферты'!K15</f>
        <v>10389960</v>
      </c>
      <c r="SP17" s="521">
        <f t="shared" si="93"/>
        <v>7418332.29</v>
      </c>
      <c r="SQ17" s="1421"/>
      <c r="SR17" s="1422">
        <v>7418332.29</v>
      </c>
      <c r="SS17" s="521">
        <f t="shared" si="177"/>
        <v>0</v>
      </c>
      <c r="ST17" s="1082">
        <f>'[1]Иные межбюджетные трансферты'!Y15</f>
        <v>0</v>
      </c>
      <c r="SU17" s="1630">
        <f>'[1]Иные межбюджетные трансферты'!AE15</f>
        <v>0</v>
      </c>
      <c r="SV17" s="521">
        <f t="shared" si="178"/>
        <v>0</v>
      </c>
      <c r="SW17" s="906"/>
      <c r="SX17" s="1422"/>
      <c r="SY17" s="1254">
        <f t="shared" si="94"/>
        <v>0</v>
      </c>
      <c r="SZ17" s="1009">
        <f>'[1]Иные межбюджетные трансферты'!AG15</f>
        <v>0</v>
      </c>
      <c r="TA17" s="899">
        <f t="shared" si="95"/>
        <v>0</v>
      </c>
      <c r="TB17" s="1422"/>
      <c r="TC17" s="903">
        <f t="shared" si="96"/>
        <v>0</v>
      </c>
      <c r="TD17" s="1009">
        <f>'[1]Иные межбюджетные трансферты'!AI15</f>
        <v>0</v>
      </c>
      <c r="TE17" s="899">
        <f t="shared" si="97"/>
        <v>0</v>
      </c>
      <c r="TF17" s="1082"/>
      <c r="TG17" s="901">
        <f t="shared" si="98"/>
        <v>0</v>
      </c>
      <c r="TH17" s="897">
        <f t="shared" si="99"/>
        <v>0</v>
      </c>
      <c r="TI17" s="1086">
        <f t="shared" si="179"/>
        <v>0</v>
      </c>
      <c r="TJ17" s="897">
        <f t="shared" si="180"/>
        <v>0</v>
      </c>
      <c r="TK17" s="903">
        <f t="shared" si="181"/>
        <v>0</v>
      </c>
      <c r="TL17" s="1079"/>
      <c r="TM17" s="682"/>
      <c r="TN17" s="903">
        <f t="shared" si="182"/>
        <v>0</v>
      </c>
      <c r="TO17" s="773"/>
      <c r="TP17" s="686"/>
      <c r="TQ17" s="903">
        <f t="shared" si="183"/>
        <v>0</v>
      </c>
      <c r="TR17" s="1079">
        <f>'[1]Иные межбюджетные трансферты'!AQ15</f>
        <v>0</v>
      </c>
      <c r="TS17" s="682">
        <f>'[1]Иные межбюджетные трансферты'!AU15</f>
        <v>0</v>
      </c>
      <c r="TT17" s="899">
        <f t="shared" si="184"/>
        <v>0</v>
      </c>
      <c r="TU17" s="753"/>
      <c r="TV17" s="771"/>
      <c r="TW17" s="820">
        <f t="shared" si="185"/>
        <v>0</v>
      </c>
      <c r="TX17" s="820">
        <f t="shared" si="186"/>
        <v>0</v>
      </c>
      <c r="TY17" s="820">
        <f t="shared" si="187"/>
        <v>0</v>
      </c>
      <c r="TZ17" s="1199">
        <f t="shared" si="188"/>
        <v>0</v>
      </c>
      <c r="UA17" s="1134">
        <f t="shared" si="100"/>
        <v>0</v>
      </c>
      <c r="UB17" s="945">
        <f>'[1]Иные межбюджетные трансферты'!U15</f>
        <v>0</v>
      </c>
      <c r="UC17" s="1133">
        <f>'[1]Иные межбюджетные трансферты'!W15</f>
        <v>0</v>
      </c>
      <c r="UD17" s="734">
        <f t="shared" si="101"/>
        <v>0</v>
      </c>
      <c r="UE17" s="945"/>
      <c r="UF17" s="1133"/>
      <c r="UG17" s="734">
        <f t="shared" si="189"/>
        <v>0</v>
      </c>
      <c r="UH17" s="945">
        <f>'[1]Иные межбюджетные трансферты'!O15</f>
        <v>0</v>
      </c>
      <c r="UI17" s="1133">
        <f>'[1]Иные межбюджетные трансферты'!Q15</f>
        <v>0</v>
      </c>
      <c r="UJ17" s="1133">
        <f>'[1]Иные межбюджетные трансферты'!S15</f>
        <v>0</v>
      </c>
      <c r="UK17" s="734">
        <f t="shared" si="190"/>
        <v>0</v>
      </c>
      <c r="UL17" s="1513"/>
      <c r="UM17" s="1426"/>
      <c r="UN17" s="1624"/>
      <c r="UO17" s="1585">
        <f t="shared" si="191"/>
        <v>14619373.449999999</v>
      </c>
      <c r="UP17" s="833">
        <f>'[1]Иные межбюджетные трансферты'!E15</f>
        <v>0</v>
      </c>
      <c r="UQ17" s="880">
        <f>'[1]Иные межбюджетные трансферты'!G15</f>
        <v>0</v>
      </c>
      <c r="UR17" s="830">
        <f>'[1]Иные межбюджетные трансферты'!M15</f>
        <v>14067020</v>
      </c>
      <c r="US17" s="1044"/>
      <c r="UT17" s="1498">
        <f>'[1]Иные межбюджетные трансферты'!AY15</f>
        <v>0</v>
      </c>
      <c r="UU17" s="1539">
        <f>'[1]Иные межбюджетные трансферты'!BA15</f>
        <v>552353.44999999995</v>
      </c>
      <c r="UV17" s="834">
        <f t="shared" si="192"/>
        <v>14619373.449999999</v>
      </c>
      <c r="UW17" s="908"/>
      <c r="UX17" s="906"/>
      <c r="UY17" s="1425">
        <v>14067020</v>
      </c>
      <c r="UZ17" s="516"/>
      <c r="VA17" s="518">
        <f t="shared" si="102"/>
        <v>0</v>
      </c>
      <c r="VB17" s="516">
        <f t="shared" si="193"/>
        <v>552353.44999999995</v>
      </c>
      <c r="VC17" s="899">
        <f t="shared" si="194"/>
        <v>4843322.8499999996</v>
      </c>
      <c r="VD17" s="830">
        <f>'[1]Иные межбюджетные трансферты'!AM15</f>
        <v>2051401.41</v>
      </c>
      <c r="VE17" s="1587">
        <f>'[1]Иные межбюджетные трансферты'!BC15</f>
        <v>2791921.44</v>
      </c>
      <c r="VF17" s="1495">
        <f t="shared" si="195"/>
        <v>2791921.44</v>
      </c>
      <c r="VG17" s="753"/>
      <c r="VH17" s="1251">
        <f t="shared" si="196"/>
        <v>2791921.44</v>
      </c>
      <c r="VI17" s="1199">
        <f t="shared" si="197"/>
        <v>4843322.8499999996</v>
      </c>
      <c r="VJ17" s="516">
        <f>'Проверочная  таблица'!VD17-VP17</f>
        <v>2051401.41</v>
      </c>
      <c r="VK17" s="516">
        <f>'Проверочная  таблица'!VE17-VQ17</f>
        <v>2791921.44</v>
      </c>
      <c r="VL17" s="1199">
        <f t="shared" si="198"/>
        <v>2791921.44</v>
      </c>
      <c r="VM17" s="516">
        <f>'Проверочная  таблица'!VG17-VS17</f>
        <v>0</v>
      </c>
      <c r="VN17" s="516">
        <f>'Проверочная  таблица'!VH17-VT17</f>
        <v>2791921.44</v>
      </c>
      <c r="VO17" s="1199">
        <f t="shared" si="199"/>
        <v>0</v>
      </c>
      <c r="VP17" s="833">
        <f>'[1]Иные межбюджетные трансферты'!AO15</f>
        <v>0</v>
      </c>
      <c r="VQ17" s="830">
        <f>'[1]Иные межбюджетные трансферты'!BE15</f>
        <v>0</v>
      </c>
      <c r="VR17" s="1501">
        <f t="shared" si="200"/>
        <v>0</v>
      </c>
      <c r="VS17" s="1492"/>
      <c r="VT17" s="518">
        <f t="shared" si="201"/>
        <v>0</v>
      </c>
      <c r="VU17" s="521">
        <f>VW17+'Проверочная  таблица'!WE17+WA17+'Проверочная  таблица'!WI17+WC17+'Проверочная  таблица'!WK17</f>
        <v>-1170000</v>
      </c>
      <c r="VV17" s="521">
        <f>VX17+'Проверочная  таблица'!WF17+WB17+'Проверочная  таблица'!WJ17+WD17+'Проверочная  таблица'!WL17</f>
        <v>-1030000</v>
      </c>
      <c r="VW17" s="533"/>
      <c r="VX17" s="533"/>
      <c r="VY17" s="533"/>
      <c r="VZ17" s="533"/>
      <c r="WA17" s="530">
        <f t="shared" si="103"/>
        <v>0</v>
      </c>
      <c r="WB17" s="528">
        <f t="shared" si="104"/>
        <v>0</v>
      </c>
      <c r="WC17" s="534"/>
      <c r="WD17" s="523"/>
      <c r="WE17" s="533"/>
      <c r="WF17" s="533"/>
      <c r="WG17" s="533">
        <v>-1170000</v>
      </c>
      <c r="WH17" s="533">
        <v>-1030000</v>
      </c>
      <c r="WI17" s="530">
        <f t="shared" si="105"/>
        <v>-1170000</v>
      </c>
      <c r="WJ17" s="528">
        <f t="shared" si="106"/>
        <v>-1030000</v>
      </c>
      <c r="WK17" s="523"/>
      <c r="WL17" s="523"/>
      <c r="WM17" s="252">
        <f>'Проверочная  таблица'!WE17+'Проверочная  таблица'!WG17</f>
        <v>-1170000</v>
      </c>
      <c r="WN17" s="252">
        <f>'Проверочная  таблица'!WF17+'Проверочная  таблица'!WH17</f>
        <v>-1030000</v>
      </c>
      <c r="WO17" s="1042"/>
    </row>
    <row r="18" spans="1:613" s="338" customFormat="1" ht="25.5" customHeight="1" x14ac:dyDescent="0.25">
      <c r="A18" s="348" t="s">
        <v>85</v>
      </c>
      <c r="B18" s="526">
        <f>D18+AI18+'Проверочная  таблица'!RA18+'Проверочная  таблица'!SK18</f>
        <v>859771822.19999993</v>
      </c>
      <c r="C18" s="521">
        <f>E18+'Проверочная  таблица'!RD18+AJ18+'Проверочная  таблица'!SL18</f>
        <v>504424567.6500001</v>
      </c>
      <c r="D18" s="524">
        <f t="shared" si="0"/>
        <v>89321456</v>
      </c>
      <c r="E18" s="526">
        <f t="shared" si="1"/>
        <v>66819272</v>
      </c>
      <c r="F18" s="581">
        <f>'[1]Дотация  из  ОБ_факт'!M14</f>
        <v>2011400</v>
      </c>
      <c r="G18" s="963">
        <v>1508616</v>
      </c>
      <c r="H18" s="581">
        <f>'[1]Дотация  из  ОБ_факт'!G14</f>
        <v>33605000</v>
      </c>
      <c r="I18" s="963">
        <v>25258634</v>
      </c>
      <c r="J18" s="582">
        <f t="shared" si="2"/>
        <v>33605000</v>
      </c>
      <c r="K18" s="588">
        <f t="shared" si="3"/>
        <v>25258634</v>
      </c>
      <c r="L18" s="835">
        <f>'[1]Дотация  из  ОБ_факт'!K14</f>
        <v>0</v>
      </c>
      <c r="M18" s="1446"/>
      <c r="N18" s="581">
        <f>'[1]Дотация  из  ОБ_факт'!Q14</f>
        <v>20219270</v>
      </c>
      <c r="O18" s="963">
        <v>13000000</v>
      </c>
      <c r="P18" s="581">
        <f>'[1]Дотация  из  ОБ_факт'!S14</f>
        <v>32254286</v>
      </c>
      <c r="Q18" s="1442">
        <v>25820522</v>
      </c>
      <c r="R18" s="588">
        <f t="shared" si="4"/>
        <v>32254286</v>
      </c>
      <c r="S18" s="583">
        <f t="shared" si="5"/>
        <v>25820522</v>
      </c>
      <c r="T18" s="835">
        <f>'[1]Дотация  из  ОБ_факт'!W14</f>
        <v>0</v>
      </c>
      <c r="U18" s="1448"/>
      <c r="V18" s="581">
        <f>'[1]Дотация  из  ОБ_факт'!AA14+'[1]Дотация  из  ОБ_факт'!AC14+'[1]Дотация  из  ОБ_факт'!AG14</f>
        <v>900000</v>
      </c>
      <c r="W18" s="461">
        <f t="shared" si="6"/>
        <v>900000</v>
      </c>
      <c r="X18" s="585"/>
      <c r="Y18" s="584">
        <v>900000</v>
      </c>
      <c r="Z18" s="585"/>
      <c r="AA18" s="581">
        <f>'[1]Дотация  из  ОБ_факт'!Y14+'[1]Дотация  из  ОБ_факт'!AE14</f>
        <v>331500</v>
      </c>
      <c r="AB18" s="172">
        <f t="shared" si="7"/>
        <v>331500</v>
      </c>
      <c r="AC18" s="584">
        <v>331500</v>
      </c>
      <c r="AD18" s="585"/>
      <c r="AE18" s="582">
        <f t="shared" si="8"/>
        <v>331500</v>
      </c>
      <c r="AF18" s="588">
        <f t="shared" si="9"/>
        <v>331500</v>
      </c>
      <c r="AG18" s="1187">
        <f>'[1]Дотация  из  ОБ_факт'!AE14</f>
        <v>0</v>
      </c>
      <c r="AH18" s="1480">
        <f t="shared" si="107"/>
        <v>0</v>
      </c>
      <c r="AI18" s="579">
        <f>'Проверочная  таблица'!KW18+'Проверочная  таблица'!QS18+'Проверочная  таблица'!QU18+CS18+CU18+DA18+DC18+BU18+CE18+'Проверочная  таблица'!IQ18+'Проверочная  таблица'!JK18+'Проверочная  таблица'!EE18+'Проверочная  таблица'!KO18+DQ18+'Проверочная  таблица'!HQ18+'Проверочная  таблица'!HW18+'Проверочная  таблица'!LA18+'Проверочная  таблица'!LI18+HK18+FQ18+FE18+NK18+EY18+AK18+AW18+FK18+GM18+GS18+DI18+NQ18+FW18+EK18+OE18+MG18+GG18+PU18+QA18</f>
        <v>319718670.44999999</v>
      </c>
      <c r="AJ18" s="498">
        <f>'Проверочная  таблица'!KY18+'Проверочная  таблица'!QT18+'Проверочная  таблица'!QV18+CT18+CV18+DB18+DD18+BZ18+CJ18+'Проверочная  таблица'!JA18+'Проверочная  таблица'!JP18+'Проверочная  таблица'!EH18+'Проверочная  таблица'!KS18+DX18+'Проверочная  таблица'!HT18+'Проверочная  таблица'!HZ18+'Проверочная  таблица'!LE18+'Проверочная  таблица'!LM18+HN18+FN18+FT18+FH18+NN18+FB18+AQ18+BA18+GP18+GV18+DM18+NX18+FZ18+ER18+OL18+ML18+GJ18+PX18+QD18</f>
        <v>78662074.590000004</v>
      </c>
      <c r="AK18" s="466">
        <f t="shared" si="108"/>
        <v>0</v>
      </c>
      <c r="AL18" s="525">
        <f>[1]Субсидия_факт!CD16</f>
        <v>0</v>
      </c>
      <c r="AM18" s="508">
        <f>[1]Субсидия_факт!EX16</f>
        <v>0</v>
      </c>
      <c r="AN18" s="506">
        <f>[1]Субсидия_факт!FJ16</f>
        <v>0</v>
      </c>
      <c r="AO18" s="525">
        <f>[1]Субсидия_факт!LT16</f>
        <v>0</v>
      </c>
      <c r="AP18" s="622">
        <f>[1]Субсидия_факт!LZ16</f>
        <v>0</v>
      </c>
      <c r="AQ18" s="748">
        <f t="shared" si="109"/>
        <v>0</v>
      </c>
      <c r="AR18" s="474"/>
      <c r="AS18" s="474"/>
      <c r="AT18" s="474"/>
      <c r="AU18" s="474"/>
      <c r="AV18" s="531"/>
      <c r="AW18" s="498">
        <f t="shared" si="10"/>
        <v>0</v>
      </c>
      <c r="AX18" s="525">
        <f>[1]Субсидия_факт!CF16</f>
        <v>0</v>
      </c>
      <c r="AY18" s="508">
        <f>[1]Субсидия_факт!FB16</f>
        <v>0</v>
      </c>
      <c r="AZ18" s="646">
        <f>[1]Субсидия_факт!LV16</f>
        <v>0</v>
      </c>
      <c r="BA18" s="466">
        <f t="shared" si="11"/>
        <v>0</v>
      </c>
      <c r="BB18" s="531"/>
      <c r="BC18" s="531"/>
      <c r="BD18" s="532"/>
      <c r="BE18" s="669">
        <f t="shared" si="12"/>
        <v>0</v>
      </c>
      <c r="BF18" s="652">
        <f t="shared" si="13"/>
        <v>0</v>
      </c>
      <c r="BG18" s="464">
        <f t="shared" si="14"/>
        <v>0</v>
      </c>
      <c r="BH18" s="341">
        <f t="shared" si="15"/>
        <v>0</v>
      </c>
      <c r="BI18" s="669">
        <f t="shared" si="16"/>
        <v>0</v>
      </c>
      <c r="BJ18" s="622">
        <f t="shared" si="17"/>
        <v>0</v>
      </c>
      <c r="BK18" s="506">
        <f t="shared" si="18"/>
        <v>0</v>
      </c>
      <c r="BL18" s="341">
        <f t="shared" si="19"/>
        <v>0</v>
      </c>
      <c r="BM18" s="667">
        <f t="shared" si="20"/>
        <v>0</v>
      </c>
      <c r="BN18" s="525">
        <f>[1]Субсидия_факт!CH16</f>
        <v>0</v>
      </c>
      <c r="BO18" s="508">
        <f>[1]Субсидия_факт!FD16</f>
        <v>0</v>
      </c>
      <c r="BP18" s="646">
        <f>[1]Субсидия_факт!LX16</f>
        <v>0</v>
      </c>
      <c r="BQ18" s="669">
        <f t="shared" si="21"/>
        <v>0</v>
      </c>
      <c r="BR18" s="532"/>
      <c r="BS18" s="531"/>
      <c r="BT18" s="532"/>
      <c r="BU18" s="521">
        <f t="shared" si="110"/>
        <v>32216306.129999999</v>
      </c>
      <c r="BV18" s="562">
        <f>[1]Субсидия_факт!HB16</f>
        <v>0</v>
      </c>
      <c r="BW18" s="516">
        <f>[1]Субсидия_факт!HH16</f>
        <v>32216306.129999999</v>
      </c>
      <c r="BX18" s="531">
        <f>[1]Субсидия_факт!HP16</f>
        <v>0</v>
      </c>
      <c r="BY18" s="562">
        <f>[1]Субсидия_факт!HV16</f>
        <v>0</v>
      </c>
      <c r="BZ18" s="521">
        <f t="shared" si="111"/>
        <v>10830497.58</v>
      </c>
      <c r="CA18" s="531"/>
      <c r="CB18" s="531">
        <v>10830497.58</v>
      </c>
      <c r="CC18" s="625"/>
      <c r="CD18" s="625"/>
      <c r="CE18" s="526">
        <f t="shared" si="112"/>
        <v>0</v>
      </c>
      <c r="CF18" s="525">
        <f>[1]Субсидия_факт!HD16</f>
        <v>0</v>
      </c>
      <c r="CG18" s="525">
        <f>[1]Субсидия_факт!HJ16</f>
        <v>0</v>
      </c>
      <c r="CH18" s="531">
        <f>[1]Субсидия_факт!HR16</f>
        <v>0</v>
      </c>
      <c r="CI18" s="646">
        <f>[1]Субсидия_факт!HX16</f>
        <v>0</v>
      </c>
      <c r="CJ18" s="521">
        <f t="shared" si="113"/>
        <v>0</v>
      </c>
      <c r="CK18" s="531"/>
      <c r="CL18" s="532"/>
      <c r="CM18" s="625"/>
      <c r="CN18" s="724"/>
      <c r="CO18" s="530">
        <f t="shared" si="22"/>
        <v>0</v>
      </c>
      <c r="CP18" s="528">
        <f t="shared" si="23"/>
        <v>0</v>
      </c>
      <c r="CQ18" s="527">
        <f t="shared" si="114"/>
        <v>0</v>
      </c>
      <c r="CR18" s="530">
        <f t="shared" si="115"/>
        <v>0</v>
      </c>
      <c r="CS18" s="521">
        <f>[1]Субсидия_факт!FL16</f>
        <v>20808169.59</v>
      </c>
      <c r="CT18" s="620">
        <v>8191471.8899999997</v>
      </c>
      <c r="CU18" s="521">
        <f>[1]Субсидия_факт!FN16</f>
        <v>0</v>
      </c>
      <c r="CV18" s="620"/>
      <c r="CW18" s="528">
        <f t="shared" si="24"/>
        <v>0</v>
      </c>
      <c r="CX18" s="527">
        <f t="shared" si="25"/>
        <v>0</v>
      </c>
      <c r="CY18" s="587">
        <f>[1]Субсидия_факт!FP16</f>
        <v>0</v>
      </c>
      <c r="CZ18" s="1480">
        <f t="shared" si="205"/>
        <v>0</v>
      </c>
      <c r="DA18" s="526">
        <f>[1]Субсидия_факт!FR16</f>
        <v>2556553.94</v>
      </c>
      <c r="DB18" s="339">
        <v>917966.61</v>
      </c>
      <c r="DC18" s="524">
        <f>[1]Субсидия_факт!FT16</f>
        <v>0</v>
      </c>
      <c r="DD18" s="339"/>
      <c r="DE18" s="1238">
        <f t="shared" si="26"/>
        <v>0</v>
      </c>
      <c r="DF18" s="528">
        <f t="shared" si="27"/>
        <v>0</v>
      </c>
      <c r="DG18" s="663">
        <f>[1]Субсидия_факт!FV16</f>
        <v>0</v>
      </c>
      <c r="DH18" s="1478">
        <f t="shared" si="116"/>
        <v>0</v>
      </c>
      <c r="DI18" s="498">
        <f t="shared" si="117"/>
        <v>0</v>
      </c>
      <c r="DJ18" s="625">
        <f>[1]Субсидия_факт!EV16</f>
        <v>0</v>
      </c>
      <c r="DK18" s="516">
        <f>[1]Субсидия_факт!EL16</f>
        <v>0</v>
      </c>
      <c r="DL18" s="838">
        <f>[1]Субсидия_факт!EN16</f>
        <v>0</v>
      </c>
      <c r="DM18" s="466">
        <f t="shared" si="118"/>
        <v>0</v>
      </c>
      <c r="DN18" s="625"/>
      <c r="DO18" s="625"/>
      <c r="DP18" s="987"/>
      <c r="DQ18" s="526">
        <f t="shared" si="28"/>
        <v>0</v>
      </c>
      <c r="DR18" s="508">
        <f>[1]Субсидия_факт!N16</f>
        <v>0</v>
      </c>
      <c r="DS18" s="652">
        <f>[1]Субсидия_факт!P16</f>
        <v>0</v>
      </c>
      <c r="DT18" s="682">
        <f>[1]Субсидия_факт!R16</f>
        <v>0</v>
      </c>
      <c r="DU18" s="506">
        <f>[1]Субсидия_факт!T16</f>
        <v>0</v>
      </c>
      <c r="DV18" s="689">
        <f>[1]Субсидия_факт!V16</f>
        <v>0</v>
      </c>
      <c r="DW18" s="506">
        <f>[1]Субсидия_факт!X16</f>
        <v>0</v>
      </c>
      <c r="DX18" s="521">
        <f t="shared" si="29"/>
        <v>0</v>
      </c>
      <c r="DY18" s="532"/>
      <c r="DZ18" s="531"/>
      <c r="EA18" s="686"/>
      <c r="EB18" s="531"/>
      <c r="EC18" s="686"/>
      <c r="ED18" s="531"/>
      <c r="EE18" s="498">
        <f t="shared" si="30"/>
        <v>2827053</v>
      </c>
      <c r="EF18" s="516">
        <f>[1]Субсидия_факт!BL16</f>
        <v>141353</v>
      </c>
      <c r="EG18" s="838">
        <f>[1]Субсидия_факт!BN16</f>
        <v>2685700</v>
      </c>
      <c r="EH18" s="466">
        <f t="shared" si="31"/>
        <v>0</v>
      </c>
      <c r="EI18" s="772"/>
      <c r="EJ18" s="987"/>
      <c r="EK18" s="526">
        <f t="shared" si="32"/>
        <v>0</v>
      </c>
      <c r="EL18" s="525">
        <f>[1]Субсидия_факт!AF16</f>
        <v>0</v>
      </c>
      <c r="EM18" s="689">
        <f>[1]Субсидия_факт!AH16</f>
        <v>0</v>
      </c>
      <c r="EN18" s="506">
        <f>[1]Субсидия_факт!AJ16</f>
        <v>0</v>
      </c>
      <c r="EO18" s="866">
        <f>[1]Субсидия_факт!AL16</f>
        <v>0</v>
      </c>
      <c r="EP18" s="622">
        <f>[1]Субсидия_факт!AN16</f>
        <v>0</v>
      </c>
      <c r="EQ18" s="712">
        <f>[1]Субсидия_факт!AP16</f>
        <v>0</v>
      </c>
      <c r="ER18" s="521">
        <f t="shared" si="33"/>
        <v>0</v>
      </c>
      <c r="ES18" s="474"/>
      <c r="ET18" s="686"/>
      <c r="EU18" s="474"/>
      <c r="EV18" s="686"/>
      <c r="EW18" s="474"/>
      <c r="EX18" s="686"/>
      <c r="EY18" s="498">
        <f t="shared" si="34"/>
        <v>0</v>
      </c>
      <c r="EZ18" s="516">
        <f>[1]Субсидия_факт!AV16</f>
        <v>0</v>
      </c>
      <c r="FA18" s="752">
        <f>[1]Субсидия_факт!AX16</f>
        <v>0</v>
      </c>
      <c r="FB18" s="466">
        <f t="shared" si="35"/>
        <v>0</v>
      </c>
      <c r="FC18" s="772"/>
      <c r="FD18" s="678"/>
      <c r="FE18" s="498">
        <f t="shared" si="36"/>
        <v>0</v>
      </c>
      <c r="FF18" s="516">
        <f>[1]Субсидия_факт!BT16</f>
        <v>0</v>
      </c>
      <c r="FG18" s="838">
        <f>[1]Субсидия_факт!BV16</f>
        <v>0</v>
      </c>
      <c r="FH18" s="466">
        <f t="shared" si="37"/>
        <v>0</v>
      </c>
      <c r="FI18" s="772"/>
      <c r="FJ18" s="678"/>
      <c r="FK18" s="498">
        <f t="shared" si="38"/>
        <v>65624962.600000001</v>
      </c>
      <c r="FL18" s="516">
        <f>[1]Субсидия_факт!BP16</f>
        <v>3281248.1300000027</v>
      </c>
      <c r="FM18" s="838">
        <f>[1]Субсидия_факт!BR16</f>
        <v>62343714.469999999</v>
      </c>
      <c r="FN18" s="466">
        <f t="shared" si="39"/>
        <v>18321810.02</v>
      </c>
      <c r="FO18" s="772">
        <v>916090.5</v>
      </c>
      <c r="FP18" s="678">
        <v>17405719.52</v>
      </c>
      <c r="FQ18" s="498">
        <f t="shared" si="40"/>
        <v>0</v>
      </c>
      <c r="FR18" s="516">
        <f>[1]Субсидия_факт!IV16</f>
        <v>0</v>
      </c>
      <c r="FS18" s="838">
        <f>[1]Субсидия_факт!IX16</f>
        <v>0</v>
      </c>
      <c r="FT18" s="466">
        <f t="shared" si="41"/>
        <v>0</v>
      </c>
      <c r="FU18" s="772"/>
      <c r="FV18" s="678"/>
      <c r="FW18" s="498">
        <f t="shared" si="42"/>
        <v>0</v>
      </c>
      <c r="FX18" s="516">
        <f>[1]Субсидия_факт!IZ16</f>
        <v>0</v>
      </c>
      <c r="FY18" s="838">
        <f>[1]Субсидия_факт!JD16</f>
        <v>0</v>
      </c>
      <c r="FZ18" s="466">
        <f t="shared" si="43"/>
        <v>0</v>
      </c>
      <c r="GA18" s="772"/>
      <c r="GB18" s="678"/>
      <c r="GC18" s="667">
        <f t="shared" si="119"/>
        <v>0</v>
      </c>
      <c r="GD18" s="669">
        <f t="shared" si="120"/>
        <v>0</v>
      </c>
      <c r="GE18" s="667">
        <f t="shared" si="121"/>
        <v>0</v>
      </c>
      <c r="GF18" s="669">
        <f t="shared" si="122"/>
        <v>0</v>
      </c>
      <c r="GG18" s="498">
        <f t="shared" si="123"/>
        <v>0</v>
      </c>
      <c r="GH18" s="1251">
        <f>[1]Субсидия_факт!BH16</f>
        <v>0</v>
      </c>
      <c r="GI18" s="676">
        <f>[1]Субсидия_факт!BJ16</f>
        <v>0</v>
      </c>
      <c r="GJ18" s="498">
        <f t="shared" si="124"/>
        <v>0</v>
      </c>
      <c r="GK18" s="724"/>
      <c r="GL18" s="678"/>
      <c r="GM18" s="498">
        <f t="shared" si="44"/>
        <v>0</v>
      </c>
      <c r="GN18" s="516"/>
      <c r="GO18" s="838"/>
      <c r="GP18" s="466">
        <f t="shared" si="45"/>
        <v>0</v>
      </c>
      <c r="GQ18" s="724"/>
      <c r="GR18" s="678"/>
      <c r="GS18" s="498">
        <f t="shared" si="46"/>
        <v>585313</v>
      </c>
      <c r="GT18" s="516">
        <f>[1]Субсидия_факт!FZ16</f>
        <v>292476.14</v>
      </c>
      <c r="GU18" s="838">
        <f>[1]Субсидия_факт!GD16</f>
        <v>292836.86</v>
      </c>
      <c r="GV18" s="466">
        <f t="shared" si="47"/>
        <v>556407.97</v>
      </c>
      <c r="GW18" s="724">
        <f>228063.35+49969.19</f>
        <v>278032.54000000004</v>
      </c>
      <c r="GX18" s="678">
        <f>228344.62+50030.81</f>
        <v>278375.43</v>
      </c>
      <c r="GY18" s="667">
        <f t="shared" si="48"/>
        <v>585313</v>
      </c>
      <c r="GZ18" s="516">
        <f t="shared" si="125"/>
        <v>292476.14</v>
      </c>
      <c r="HA18" s="838">
        <f t="shared" si="125"/>
        <v>292836.86</v>
      </c>
      <c r="HB18" s="669">
        <f t="shared" si="49"/>
        <v>556407.97</v>
      </c>
      <c r="HC18" s="516">
        <f t="shared" si="125"/>
        <v>278032.54000000004</v>
      </c>
      <c r="HD18" s="838">
        <f t="shared" si="125"/>
        <v>278375.43</v>
      </c>
      <c r="HE18" s="667">
        <f t="shared" si="50"/>
        <v>0</v>
      </c>
      <c r="HF18" s="516">
        <f>[1]Субсидия_факт!GB16</f>
        <v>0</v>
      </c>
      <c r="HG18" s="838">
        <f>[1]Субсидия_факт!GF16</f>
        <v>0</v>
      </c>
      <c r="HH18" s="669">
        <f t="shared" si="51"/>
        <v>0</v>
      </c>
      <c r="HI18" s="724"/>
      <c r="HJ18" s="678"/>
      <c r="HK18" s="526">
        <f t="shared" si="126"/>
        <v>0</v>
      </c>
      <c r="HL18" s="518">
        <f>[1]Субсидия_факт!DD16</f>
        <v>0</v>
      </c>
      <c r="HM18" s="752">
        <f>[1]Субсидия_факт!DF16</f>
        <v>0</v>
      </c>
      <c r="HN18" s="521">
        <f t="shared" si="127"/>
        <v>0</v>
      </c>
      <c r="HO18" s="531"/>
      <c r="HP18" s="706"/>
      <c r="HQ18" s="579">
        <f t="shared" si="54"/>
        <v>563043.41</v>
      </c>
      <c r="HR18" s="516">
        <f>[1]Субсидия_факт!CR16</f>
        <v>157652.16000000003</v>
      </c>
      <c r="HS18" s="838">
        <f>[1]Субсидия_факт!CX16</f>
        <v>405391.25</v>
      </c>
      <c r="HT18" s="466">
        <f t="shared" si="55"/>
        <v>563043.41</v>
      </c>
      <c r="HU18" s="1251">
        <f t="shared" si="202"/>
        <v>157652.16000000003</v>
      </c>
      <c r="HV18" s="1519">
        <f t="shared" si="202"/>
        <v>405391.25</v>
      </c>
      <c r="HW18" s="466">
        <f t="shared" si="56"/>
        <v>0</v>
      </c>
      <c r="HX18" s="516">
        <f>[1]Субсидия_факт!CT16</f>
        <v>0</v>
      </c>
      <c r="HY18" s="752">
        <f>[1]Субсидия_факт!CZ16</f>
        <v>0</v>
      </c>
      <c r="HZ18" s="466">
        <f t="shared" si="57"/>
        <v>0</v>
      </c>
      <c r="IA18" s="757">
        <f t="shared" si="128"/>
        <v>0</v>
      </c>
      <c r="IB18" s="789">
        <f t="shared" si="129"/>
        <v>0</v>
      </c>
      <c r="IC18" s="625">
        <v>157652.16</v>
      </c>
      <c r="ID18" s="709">
        <v>405391.25</v>
      </c>
      <c r="IE18" s="669">
        <f t="shared" si="58"/>
        <v>0</v>
      </c>
      <c r="IF18" s="750">
        <f>'Проверочная  таблица'!HX18-'Проверочная  таблица'!IL18</f>
        <v>0</v>
      </c>
      <c r="IG18" s="676">
        <f>'Проверочная  таблица'!HY18-'Проверочная  таблица'!IM18</f>
        <v>0</v>
      </c>
      <c r="IH18" s="663">
        <f t="shared" si="59"/>
        <v>0</v>
      </c>
      <c r="II18" s="757">
        <f>'Проверочная  таблица'!IA18-'Проверочная  таблица'!IO18</f>
        <v>0</v>
      </c>
      <c r="IJ18" s="768">
        <f>'Проверочная  таблица'!IB18-'Проверочная  таблица'!IP18</f>
        <v>0</v>
      </c>
      <c r="IK18" s="669">
        <f t="shared" si="60"/>
        <v>0</v>
      </c>
      <c r="IL18" s="516">
        <f>[1]Субсидия_факт!CV16</f>
        <v>0</v>
      </c>
      <c r="IM18" s="838">
        <f>[1]Субсидия_факт!DB16</f>
        <v>0</v>
      </c>
      <c r="IN18" s="669">
        <f t="shared" si="61"/>
        <v>0</v>
      </c>
      <c r="IO18" s="724"/>
      <c r="IP18" s="678"/>
      <c r="IQ18" s="466">
        <f t="shared" si="130"/>
        <v>5270000</v>
      </c>
      <c r="IR18" s="757">
        <f>[1]Субсидия_факт!CJ16</f>
        <v>0</v>
      </c>
      <c r="IS18" s="676">
        <f>[1]Субсидия_факт!CN16</f>
        <v>0</v>
      </c>
      <c r="IT18" s="757">
        <f>[1]Субсидия_факт!DH16</f>
        <v>0</v>
      </c>
      <c r="IU18" s="676">
        <f>[1]Субсидия_факт!DN16</f>
        <v>0</v>
      </c>
      <c r="IV18" s="525">
        <f>[1]Субсидия_факт!DX16</f>
        <v>0</v>
      </c>
      <c r="IW18" s="689">
        <f>[1]Субсидия_факт!DZ16</f>
        <v>0</v>
      </c>
      <c r="IX18" s="1295">
        <f>[1]Субсидия_факт!DT16</f>
        <v>269612.63</v>
      </c>
      <c r="IY18" s="676">
        <f>[1]Субсидия_факт!DV16</f>
        <v>5000387.37</v>
      </c>
      <c r="IZ18" s="516">
        <f>[1]Субсидия_факт!EB16</f>
        <v>0</v>
      </c>
      <c r="JA18" s="466">
        <f t="shared" si="131"/>
        <v>5270000</v>
      </c>
      <c r="JB18" s="625"/>
      <c r="JC18" s="678"/>
      <c r="JD18" s="625"/>
      <c r="JE18" s="678"/>
      <c r="JF18" s="531"/>
      <c r="JG18" s="706"/>
      <c r="JH18" s="625">
        <v>269612.63</v>
      </c>
      <c r="JI18" s="678">
        <v>5000387.37</v>
      </c>
      <c r="JJ18" s="757">
        <f t="shared" si="132"/>
        <v>0</v>
      </c>
      <c r="JK18" s="748">
        <f t="shared" si="133"/>
        <v>0</v>
      </c>
      <c r="JL18" s="757">
        <f>[1]Субсидия_факт!CL16</f>
        <v>0</v>
      </c>
      <c r="JM18" s="676">
        <f>[1]Субсидия_факт!CP16</f>
        <v>0</v>
      </c>
      <c r="JN18" s="757">
        <f>[1]Субсидия_факт!DJ16</f>
        <v>0</v>
      </c>
      <c r="JO18" s="676">
        <f>[1]Субсидия_факт!DP16</f>
        <v>0</v>
      </c>
      <c r="JP18" s="748">
        <f t="shared" si="134"/>
        <v>0</v>
      </c>
      <c r="JQ18" s="625"/>
      <c r="JR18" s="678"/>
      <c r="JS18" s="625"/>
      <c r="JT18" s="678"/>
      <c r="JU18" s="587">
        <f t="shared" si="135"/>
        <v>0</v>
      </c>
      <c r="JV18" s="757">
        <f>'Проверочная  таблица'!JL18-KF18</f>
        <v>0</v>
      </c>
      <c r="JW18" s="676">
        <f>'Проверочная  таблица'!JM18-KG18</f>
        <v>0</v>
      </c>
      <c r="JX18" s="757">
        <f>'Проверочная  таблица'!JN18-KH18</f>
        <v>0</v>
      </c>
      <c r="JY18" s="676">
        <f>'Проверочная  таблица'!JO18-KI18</f>
        <v>0</v>
      </c>
      <c r="JZ18" s="587">
        <f t="shared" si="136"/>
        <v>0</v>
      </c>
      <c r="KA18" s="757">
        <f>'Проверочная  таблица'!JQ18-KK18</f>
        <v>0</v>
      </c>
      <c r="KB18" s="676">
        <f>'Проверочная  таблица'!JR18-KL18</f>
        <v>0</v>
      </c>
      <c r="KC18" s="757">
        <f>'Проверочная  таблица'!JS18-KM18</f>
        <v>0</v>
      </c>
      <c r="KD18" s="789">
        <f>'Проверочная  таблица'!JT18-KN18</f>
        <v>0</v>
      </c>
      <c r="KE18" s="587">
        <f t="shared" si="137"/>
        <v>0</v>
      </c>
      <c r="KF18" s="625"/>
      <c r="KG18" s="678"/>
      <c r="KH18" s="757">
        <f>[1]Субсидия_факт!DL16</f>
        <v>0</v>
      </c>
      <c r="KI18" s="1519">
        <f>[1]Субсидия_факт!DR16</f>
        <v>0</v>
      </c>
      <c r="KJ18" s="587">
        <f t="shared" si="138"/>
        <v>0</v>
      </c>
      <c r="KK18" s="753"/>
      <c r="KL18" s="678"/>
      <c r="KM18" s="625"/>
      <c r="KN18" s="678"/>
      <c r="KO18" s="579">
        <f t="shared" si="139"/>
        <v>0</v>
      </c>
      <c r="KP18" s="516">
        <f>[1]Субсидия_факт!BX16</f>
        <v>0</v>
      </c>
      <c r="KQ18" s="838">
        <f>[1]Субсидия_факт!BZ16</f>
        <v>0</v>
      </c>
      <c r="KR18" s="516">
        <f>[1]Субсидия_факт!CB16</f>
        <v>0</v>
      </c>
      <c r="KS18" s="466">
        <f t="shared" si="140"/>
        <v>0</v>
      </c>
      <c r="KT18" s="625"/>
      <c r="KU18" s="678"/>
      <c r="KV18" s="625"/>
      <c r="KW18" s="498">
        <f t="shared" si="62"/>
        <v>0</v>
      </c>
      <c r="KX18" s="508">
        <f>[1]Субсидия_факт!GN16</f>
        <v>0</v>
      </c>
      <c r="KY18" s="466">
        <f t="shared" si="63"/>
        <v>0</v>
      </c>
      <c r="KZ18" s="625"/>
      <c r="LA18" s="754">
        <f t="shared" si="206"/>
        <v>0</v>
      </c>
      <c r="LB18" s="516">
        <f>[1]Субсидия_факт!JT16</f>
        <v>0</v>
      </c>
      <c r="LC18" s="838">
        <f>[1]Субсидия_факт!JZ16</f>
        <v>0</v>
      </c>
      <c r="LD18" s="508"/>
      <c r="LE18" s="754">
        <f t="shared" si="207"/>
        <v>0</v>
      </c>
      <c r="LF18" s="772"/>
      <c r="LG18" s="678"/>
      <c r="LH18" s="625"/>
      <c r="LI18" s="754">
        <f t="shared" si="141"/>
        <v>17000000</v>
      </c>
      <c r="LJ18" s="516">
        <f>[1]Субсидия_факт!JV16</f>
        <v>0</v>
      </c>
      <c r="LK18" s="838">
        <f>[1]Субсидия_факт!KB16</f>
        <v>0</v>
      </c>
      <c r="LL18" s="518">
        <f>[1]Субсидия_факт!KF16</f>
        <v>17000000</v>
      </c>
      <c r="LM18" s="754">
        <f t="shared" si="142"/>
        <v>6567137.3499999996</v>
      </c>
      <c r="LN18" s="625"/>
      <c r="LO18" s="771"/>
      <c r="LP18" s="625">
        <v>6567137.3499999996</v>
      </c>
      <c r="LQ18" s="756">
        <f t="shared" si="143"/>
        <v>17000000</v>
      </c>
      <c r="LR18" s="652">
        <f>'Проверочная  таблица'!LJ18-LZ18</f>
        <v>0</v>
      </c>
      <c r="LS18" s="682">
        <f>'Проверочная  таблица'!LK18-MA18</f>
        <v>0</v>
      </c>
      <c r="LT18" s="622">
        <f>'Проверочная  таблица'!LL18-MB18</f>
        <v>17000000</v>
      </c>
      <c r="LU18" s="756">
        <f t="shared" si="144"/>
        <v>6567137.3499999996</v>
      </c>
      <c r="LV18" s="750">
        <f>'Проверочная  таблица'!LN18-MD18</f>
        <v>0</v>
      </c>
      <c r="LW18" s="676">
        <f>'Проверочная  таблица'!LO18-ME18</f>
        <v>0</v>
      </c>
      <c r="LX18" s="757">
        <f>'Проверочная  таблица'!LP18-MF18</f>
        <v>6567137.3499999996</v>
      </c>
      <c r="LY18" s="756">
        <f t="shared" si="145"/>
        <v>0</v>
      </c>
      <c r="LZ18" s="516">
        <f>[1]Субсидия_факт!JX16</f>
        <v>0</v>
      </c>
      <c r="MA18" s="838">
        <f>[1]Субсидия_факт!KD16</f>
        <v>0</v>
      </c>
      <c r="MB18" s="516">
        <f>[1]Субсидия_факт!KH16</f>
        <v>0</v>
      </c>
      <c r="MC18" s="756">
        <f t="shared" si="146"/>
        <v>0</v>
      </c>
      <c r="MD18" s="750">
        <f t="shared" si="203"/>
        <v>0</v>
      </c>
      <c r="ME18" s="676">
        <f t="shared" si="204"/>
        <v>0</v>
      </c>
      <c r="MF18" s="516"/>
      <c r="MG18" s="521">
        <f t="shared" si="147"/>
        <v>3092625.5</v>
      </c>
      <c r="MH18" s="652">
        <f>[1]Субсидия_факт!KR16</f>
        <v>119911.26999999999</v>
      </c>
      <c r="MI18" s="682">
        <f>[1]Субсидия_факт!KV16</f>
        <v>2278314.23</v>
      </c>
      <c r="MJ18" s="750">
        <f>[1]Субсидия_факт!KZ16</f>
        <v>34720</v>
      </c>
      <c r="MK18" s="1519">
        <f>[1]Субсидия_факт!LD16</f>
        <v>659680</v>
      </c>
      <c r="ML18" s="521">
        <f t="shared" si="148"/>
        <v>2389419.5</v>
      </c>
      <c r="MM18" s="1609">
        <v>119470.98</v>
      </c>
      <c r="MN18" s="706">
        <v>2269948.52</v>
      </c>
      <c r="MO18" s="342"/>
      <c r="MP18" s="770"/>
      <c r="MQ18" s="587">
        <f t="shared" si="149"/>
        <v>3092625.5</v>
      </c>
      <c r="MR18" s="1613">
        <f t="shared" si="64"/>
        <v>119911.26999999999</v>
      </c>
      <c r="MS18" s="682">
        <f t="shared" si="65"/>
        <v>2278314.23</v>
      </c>
      <c r="MT18" s="487">
        <f t="shared" si="66"/>
        <v>34720</v>
      </c>
      <c r="MU18" s="682">
        <f t="shared" si="67"/>
        <v>659680</v>
      </c>
      <c r="MV18" s="587">
        <f t="shared" si="150"/>
        <v>2389419.5</v>
      </c>
      <c r="MW18" s="487">
        <f t="shared" si="68"/>
        <v>119470.98</v>
      </c>
      <c r="MX18" s="682">
        <f t="shared" si="69"/>
        <v>2269948.52</v>
      </c>
      <c r="MY18" s="487">
        <f t="shared" si="70"/>
        <v>0</v>
      </c>
      <c r="MZ18" s="682">
        <f t="shared" si="71"/>
        <v>0</v>
      </c>
      <c r="NA18" s="587">
        <f t="shared" si="151"/>
        <v>0</v>
      </c>
      <c r="NB18" s="1079">
        <f>[1]Субсидия_факт!KT16</f>
        <v>0</v>
      </c>
      <c r="NC18" s="682">
        <f>[1]Субсидия_факт!KX16</f>
        <v>0</v>
      </c>
      <c r="ND18" s="625">
        <f>[1]Субсидия_факт!LB16</f>
        <v>0</v>
      </c>
      <c r="NE18" s="709">
        <f>[1]Субсидия_факт!LF16</f>
        <v>0</v>
      </c>
      <c r="NF18" s="587">
        <f t="shared" si="152"/>
        <v>0</v>
      </c>
      <c r="NG18" s="487"/>
      <c r="NH18" s="712"/>
      <c r="NI18" s="342"/>
      <c r="NJ18" s="706"/>
      <c r="NK18" s="498">
        <f t="shared" si="72"/>
        <v>0</v>
      </c>
      <c r="NL18" s="516">
        <f>[1]Субсидия_факт!AB16</f>
        <v>0</v>
      </c>
      <c r="NM18" s="838">
        <f>[1]Субсидия_факт!AD16</f>
        <v>0</v>
      </c>
      <c r="NN18" s="466">
        <f t="shared" si="73"/>
        <v>0</v>
      </c>
      <c r="NO18" s="772"/>
      <c r="NP18" s="987"/>
      <c r="NQ18" s="521">
        <f t="shared" si="153"/>
        <v>154475157.88999999</v>
      </c>
      <c r="NR18" s="506">
        <f>[1]Субсидия_факт!LH16</f>
        <v>0</v>
      </c>
      <c r="NS18" s="866">
        <f>[1]Субсидия_факт!LJ16</f>
        <v>0</v>
      </c>
      <c r="NT18" s="525">
        <f>[1]Субсидия_факт!MN16</f>
        <v>7723757.8899999997</v>
      </c>
      <c r="NU18" s="689">
        <f>[1]Субсидия_факт!MP16</f>
        <v>146751400</v>
      </c>
      <c r="NV18" s="1147">
        <f>[1]Субсидия_факт!MB16</f>
        <v>0</v>
      </c>
      <c r="NW18" s="682">
        <f>[1]Субсидия_факт!MH16</f>
        <v>0</v>
      </c>
      <c r="NX18" s="521">
        <f t="shared" si="154"/>
        <v>15948331.200000001</v>
      </c>
      <c r="NY18" s="474"/>
      <c r="NZ18" s="686"/>
      <c r="OA18" s="474">
        <v>797416.56</v>
      </c>
      <c r="OB18" s="686">
        <v>15150914.640000001</v>
      </c>
      <c r="OC18" s="342"/>
      <c r="OD18" s="1279"/>
      <c r="OE18" s="521">
        <f t="shared" si="155"/>
        <v>0</v>
      </c>
      <c r="OF18" s="652">
        <f>[1]Субсидия_факт!KJ16</f>
        <v>0</v>
      </c>
      <c r="OG18" s="682">
        <f>[1]Субсидия_факт!KN16</f>
        <v>0</v>
      </c>
      <c r="OH18" s="652">
        <f>[1]Субсидия_факт!LL16</f>
        <v>0</v>
      </c>
      <c r="OI18" s="682">
        <f>[1]Субсидия_факт!LP16</f>
        <v>0</v>
      </c>
      <c r="OJ18" s="652">
        <f>[1]Субсидия_факт!MD16</f>
        <v>0</v>
      </c>
      <c r="OK18" s="682">
        <f>[1]Субсидия_факт!MJ16</f>
        <v>0</v>
      </c>
      <c r="OL18" s="521">
        <f t="shared" si="156"/>
        <v>0</v>
      </c>
      <c r="OM18" s="487"/>
      <c r="ON18" s="712"/>
      <c r="OO18" s="474"/>
      <c r="OP18" s="686"/>
      <c r="OQ18" s="487"/>
      <c r="OR18" s="712"/>
      <c r="OS18" s="587">
        <f t="shared" si="157"/>
        <v>0</v>
      </c>
      <c r="OT18" s="1066">
        <f t="shared" si="74"/>
        <v>0</v>
      </c>
      <c r="OU18" s="682">
        <f t="shared" si="75"/>
        <v>0</v>
      </c>
      <c r="OV18" s="1066">
        <f t="shared" si="76"/>
        <v>0</v>
      </c>
      <c r="OW18" s="682">
        <f t="shared" si="77"/>
        <v>0</v>
      </c>
      <c r="OX18" s="1147">
        <f t="shared" si="78"/>
        <v>0</v>
      </c>
      <c r="OY18" s="682">
        <f t="shared" si="79"/>
        <v>0</v>
      </c>
      <c r="OZ18" s="587">
        <f t="shared" si="158"/>
        <v>0</v>
      </c>
      <c r="PA18" s="1066">
        <f t="shared" si="80"/>
        <v>0</v>
      </c>
      <c r="PB18" s="682">
        <f t="shared" si="81"/>
        <v>0</v>
      </c>
      <c r="PC18" s="1066">
        <f t="shared" si="82"/>
        <v>0</v>
      </c>
      <c r="PD18" s="682">
        <f t="shared" si="83"/>
        <v>0</v>
      </c>
      <c r="PE18" s="1147">
        <f t="shared" si="84"/>
        <v>0</v>
      </c>
      <c r="PF18" s="682">
        <f t="shared" si="85"/>
        <v>0</v>
      </c>
      <c r="PG18" s="587">
        <f t="shared" si="159"/>
        <v>0</v>
      </c>
      <c r="PH18" s="1079">
        <f>[1]Субсидия_факт!KL16</f>
        <v>0</v>
      </c>
      <c r="PI18" s="682">
        <f>[1]Субсидия_факт!KP16</f>
        <v>0</v>
      </c>
      <c r="PJ18" s="652">
        <f>[1]Субсидия_факт!LN16</f>
        <v>0</v>
      </c>
      <c r="PK18" s="682">
        <f>[1]Субсидия_факт!LR16</f>
        <v>0</v>
      </c>
      <c r="PL18" s="652">
        <f>[1]Субсидия_факт!MF16</f>
        <v>0</v>
      </c>
      <c r="PM18" s="682">
        <f>[1]Субсидия_факт!ML16</f>
        <v>0</v>
      </c>
      <c r="PN18" s="587">
        <f t="shared" si="160"/>
        <v>0</v>
      </c>
      <c r="PO18" s="487"/>
      <c r="PP18" s="712"/>
      <c r="PQ18" s="474"/>
      <c r="PR18" s="686"/>
      <c r="PS18" s="487"/>
      <c r="PT18" s="712"/>
      <c r="PU18" s="466">
        <f t="shared" si="161"/>
        <v>0</v>
      </c>
      <c r="PV18" s="516">
        <f>[1]Субсидия_факт!MR16</f>
        <v>0</v>
      </c>
      <c r="PW18" s="838">
        <f>[1]Субсидия_факт!MX16</f>
        <v>0</v>
      </c>
      <c r="PX18" s="466">
        <f t="shared" si="162"/>
        <v>0</v>
      </c>
      <c r="PY18" s="724"/>
      <c r="PZ18" s="678"/>
      <c r="QA18" s="579">
        <f t="shared" si="163"/>
        <v>0</v>
      </c>
      <c r="QB18" s="516">
        <f>[1]Субсидия_факт!MT16</f>
        <v>0</v>
      </c>
      <c r="QC18" s="838">
        <f>[1]Субсидия_факт!MZ16</f>
        <v>0</v>
      </c>
      <c r="QD18" s="466">
        <f t="shared" si="164"/>
        <v>0</v>
      </c>
      <c r="QE18" s="724"/>
      <c r="QF18" s="987"/>
      <c r="QG18" s="669">
        <f t="shared" si="165"/>
        <v>0</v>
      </c>
      <c r="QH18" s="516">
        <f t="shared" si="166"/>
        <v>0</v>
      </c>
      <c r="QI18" s="838">
        <f t="shared" si="167"/>
        <v>0</v>
      </c>
      <c r="QJ18" s="669">
        <f t="shared" si="168"/>
        <v>0</v>
      </c>
      <c r="QK18" s="516">
        <f t="shared" si="169"/>
        <v>0</v>
      </c>
      <c r="QL18" s="838">
        <f t="shared" si="170"/>
        <v>0</v>
      </c>
      <c r="QM18" s="669">
        <f t="shared" si="171"/>
        <v>0</v>
      </c>
      <c r="QN18" s="516">
        <f>[1]Субсидия_факт!MV16</f>
        <v>0</v>
      </c>
      <c r="QO18" s="838">
        <f>[1]Субсидия_факт!NB16</f>
        <v>0</v>
      </c>
      <c r="QP18" s="669">
        <f t="shared" si="172"/>
        <v>0</v>
      </c>
      <c r="QQ18" s="516">
        <f>[1]Субсидия_факт!NI16</f>
        <v>0</v>
      </c>
      <c r="QR18" s="752">
        <f>[1]Субсидия_факт!NO16</f>
        <v>0</v>
      </c>
      <c r="QS18" s="521">
        <f>'Прочая  субсидия_МР  и  ГО'!B14</f>
        <v>11284386.65</v>
      </c>
      <c r="QT18" s="521">
        <f>'Прочая  субсидия_МР  и  ГО'!C14</f>
        <v>7776336.8299999991</v>
      </c>
      <c r="QU18" s="524">
        <f>'Прочая  субсидия_БП'!B14</f>
        <v>3415098.74</v>
      </c>
      <c r="QV18" s="526">
        <f>'Прочая  субсидия_БП'!C14</f>
        <v>1329652.23</v>
      </c>
      <c r="QW18" s="583">
        <f>'Прочая  субсидия_БП'!D14</f>
        <v>3415098.74</v>
      </c>
      <c r="QX18" s="582">
        <f>'Прочая  субсидия_БП'!E14</f>
        <v>1329652.23</v>
      </c>
      <c r="QY18" s="588">
        <f>'Прочая  субсидия_БП'!F14</f>
        <v>0</v>
      </c>
      <c r="QZ18" s="583">
        <f>'Прочая  субсидия_БП'!G14</f>
        <v>0</v>
      </c>
      <c r="RA18" s="526">
        <f t="shared" si="173"/>
        <v>360521590.44999999</v>
      </c>
      <c r="RB18" s="525">
        <f>'Проверочная  таблица'!SF18+'Проверочная  таблица'!RG18+'Проверочная  таблица'!RI18+'Проверочная  таблица'!RK18+RX18</f>
        <v>346898185.37</v>
      </c>
      <c r="RC18" s="508">
        <f>'Проверочная  таблица'!SG18+'Проверочная  таблица'!RM18+'Проверочная  таблица'!RS18+'Проверочная  таблица'!RO18+'Проверочная  таблица'!RQ18+RU18+RY18+SC18</f>
        <v>13623405.08</v>
      </c>
      <c r="RD18" s="521">
        <f t="shared" si="174"/>
        <v>279339651.48000002</v>
      </c>
      <c r="RE18" s="506">
        <f>'Проверочная  таблица'!SI18+'Проверочная  таблица'!RH18+'Проверочная  таблица'!RJ18+'Проверочная  таблица'!RL18+SA18</f>
        <v>270863438.30000001</v>
      </c>
      <c r="RF18" s="508">
        <f>'Проверочная  таблица'!SJ18+'Проверочная  таблица'!RN18+'Проверочная  таблица'!RT18+'Проверочная  таблица'!RP18+'Проверочная  таблица'!RR18+RV18+SB18+SD18</f>
        <v>8476213.1799999997</v>
      </c>
      <c r="RG18" s="579">
        <f>'Субвенция  на  полномочия'!B14</f>
        <v>329701224.75</v>
      </c>
      <c r="RH18" s="466">
        <f>'Субвенция  на  полномочия'!C14</f>
        <v>259589412.5</v>
      </c>
      <c r="RI18" s="733">
        <f>[1]Субвенция_факт!Q15*1000</f>
        <v>9900772</v>
      </c>
      <c r="RJ18" s="736">
        <v>6400000</v>
      </c>
      <c r="RK18" s="733">
        <f>[1]Субвенция_факт!J15*1000</f>
        <v>3239935</v>
      </c>
      <c r="RL18" s="736">
        <v>2430000</v>
      </c>
      <c r="RM18" s="733">
        <f>[1]Субвенция_факт!AE15*1000</f>
        <v>1865100</v>
      </c>
      <c r="RN18" s="736">
        <v>1360310</v>
      </c>
      <c r="RO18" s="733">
        <f>[1]Субвенция_факт!AF15*1000</f>
        <v>5000</v>
      </c>
      <c r="RP18" s="736">
        <v>0</v>
      </c>
      <c r="RQ18" s="733">
        <f>[1]Субвенция_факт!E15*1000</f>
        <v>1611620</v>
      </c>
      <c r="RR18" s="736">
        <v>1407852</v>
      </c>
      <c r="RS18" s="733">
        <f>[1]Субвенция_факт!F15*1000</f>
        <v>0</v>
      </c>
      <c r="RT18" s="827"/>
      <c r="RU18" s="170">
        <f>[1]Субвенция_факт!G15*1000</f>
        <v>1499077</v>
      </c>
      <c r="RV18" s="1109">
        <v>1407852</v>
      </c>
      <c r="RW18" s="521">
        <f t="shared" si="88"/>
        <v>9399727.1999999993</v>
      </c>
      <c r="RX18" s="622">
        <f>[1]Субвенция_факт!N15*1000</f>
        <v>2631923.62</v>
      </c>
      <c r="RY18" s="682">
        <f>[1]Субвенция_факт!O15*1000</f>
        <v>6767803.5800000001</v>
      </c>
      <c r="RZ18" s="521">
        <f t="shared" si="89"/>
        <v>4667949.24</v>
      </c>
      <c r="SA18" s="773">
        <v>1307025.8</v>
      </c>
      <c r="SB18" s="1279">
        <v>3360923.44</v>
      </c>
      <c r="SC18" s="170">
        <f>[1]Субвенция_факт!AG15*1000</f>
        <v>464804.5</v>
      </c>
      <c r="SD18" s="1277"/>
      <c r="SE18" s="498">
        <f t="shared" si="175"/>
        <v>2834330</v>
      </c>
      <c r="SF18" s="833">
        <f>[1]Субвенция_факт!AD15*1000</f>
        <v>1424330.0000000002</v>
      </c>
      <c r="SG18" s="1562">
        <f>[1]Субвенция_факт!AC15*1000</f>
        <v>1410000</v>
      </c>
      <c r="SH18" s="521">
        <f t="shared" si="176"/>
        <v>2076275.74</v>
      </c>
      <c r="SI18" s="1557">
        <v>1137000</v>
      </c>
      <c r="SJ18" s="1635">
        <v>939275.74</v>
      </c>
      <c r="SK18" s="280">
        <f>'Проверочная  таблица'!VC18+'Проверочная  таблица'!UO18+'Проверочная  таблица'!SY18+'Проверочная  таблица'!TC18+UA18+UG18+TK18+TQ18+SM18+SS18</f>
        <v>90210105.299999997</v>
      </c>
      <c r="SL18" s="170">
        <f>'Проверочная  таблица'!VF18+'Проверочная  таблица'!UV18+'Проверочная  таблица'!TA18+'Проверочная  таблица'!TE18+UD18+UK18+TN18+TT18+SP18+SV18</f>
        <v>79603569.580000013</v>
      </c>
      <c r="SM18" s="524">
        <f t="shared" si="92"/>
        <v>14764680</v>
      </c>
      <c r="SN18" s="833">
        <f>'[1]Иные межбюджетные трансферты'!I16</f>
        <v>0</v>
      </c>
      <c r="SO18" s="880">
        <f>'[1]Иные межбюджетные трансферты'!K16</f>
        <v>14764680</v>
      </c>
      <c r="SP18" s="521">
        <f t="shared" si="93"/>
        <v>9829868.9600000009</v>
      </c>
      <c r="SQ18" s="1421"/>
      <c r="SR18" s="1422">
        <v>9829868.9600000009</v>
      </c>
      <c r="SS18" s="521">
        <f t="shared" si="177"/>
        <v>0</v>
      </c>
      <c r="ST18" s="1082">
        <f>'[1]Иные межбюджетные трансферты'!Y16</f>
        <v>0</v>
      </c>
      <c r="SU18" s="1630">
        <f>'[1]Иные межбюджетные трансферты'!AE16</f>
        <v>0</v>
      </c>
      <c r="SV18" s="521">
        <f t="shared" si="178"/>
        <v>0</v>
      </c>
      <c r="SW18" s="906"/>
      <c r="SX18" s="1422"/>
      <c r="SY18" s="1254">
        <f t="shared" si="94"/>
        <v>0</v>
      </c>
      <c r="SZ18" s="1009">
        <f>'[1]Иные межбюджетные трансферты'!AG16</f>
        <v>0</v>
      </c>
      <c r="TA18" s="899">
        <f t="shared" si="95"/>
        <v>0</v>
      </c>
      <c r="TB18" s="1422"/>
      <c r="TC18" s="903">
        <f t="shared" si="96"/>
        <v>0</v>
      </c>
      <c r="TD18" s="1009">
        <f>'[1]Иные межбюджетные трансферты'!AI16</f>
        <v>0</v>
      </c>
      <c r="TE18" s="899">
        <f t="shared" si="97"/>
        <v>0</v>
      </c>
      <c r="TF18" s="1082"/>
      <c r="TG18" s="901">
        <f t="shared" si="98"/>
        <v>0</v>
      </c>
      <c r="TH18" s="897">
        <f t="shared" si="99"/>
        <v>0</v>
      </c>
      <c r="TI18" s="1086">
        <f t="shared" si="179"/>
        <v>0</v>
      </c>
      <c r="TJ18" s="897">
        <f t="shared" si="180"/>
        <v>0</v>
      </c>
      <c r="TK18" s="903">
        <f t="shared" si="181"/>
        <v>0</v>
      </c>
      <c r="TL18" s="1079"/>
      <c r="TM18" s="682"/>
      <c r="TN18" s="903">
        <f t="shared" si="182"/>
        <v>0</v>
      </c>
      <c r="TO18" s="773"/>
      <c r="TP18" s="686"/>
      <c r="TQ18" s="903">
        <f t="shared" si="183"/>
        <v>0</v>
      </c>
      <c r="TR18" s="1079">
        <f>'[1]Иные межбюджетные трансферты'!AQ16</f>
        <v>0</v>
      </c>
      <c r="TS18" s="682">
        <f>'[1]Иные межбюджетные трансферты'!AU16</f>
        <v>0</v>
      </c>
      <c r="TT18" s="899">
        <f t="shared" si="184"/>
        <v>0</v>
      </c>
      <c r="TU18" s="753"/>
      <c r="TV18" s="771"/>
      <c r="TW18" s="820">
        <f t="shared" si="185"/>
        <v>0</v>
      </c>
      <c r="TX18" s="820">
        <f t="shared" si="186"/>
        <v>0</v>
      </c>
      <c r="TY18" s="820">
        <f t="shared" si="187"/>
        <v>0</v>
      </c>
      <c r="TZ18" s="1199">
        <f t="shared" si="188"/>
        <v>0</v>
      </c>
      <c r="UA18" s="1134">
        <f t="shared" si="100"/>
        <v>0</v>
      </c>
      <c r="UB18" s="945">
        <f>'[1]Иные межбюджетные трансферты'!U16</f>
        <v>0</v>
      </c>
      <c r="UC18" s="1133">
        <f>'[1]Иные межбюджетные трансферты'!W16</f>
        <v>0</v>
      </c>
      <c r="UD18" s="734">
        <f t="shared" si="101"/>
        <v>0</v>
      </c>
      <c r="UE18" s="945"/>
      <c r="UF18" s="1133"/>
      <c r="UG18" s="734">
        <f t="shared" si="189"/>
        <v>0</v>
      </c>
      <c r="UH18" s="945">
        <f>'[1]Иные межбюджетные трансферты'!O16</f>
        <v>0</v>
      </c>
      <c r="UI18" s="1133">
        <f>'[1]Иные межбюджетные трансферты'!Q16</f>
        <v>0</v>
      </c>
      <c r="UJ18" s="1133">
        <f>'[1]Иные межбюджетные трансферты'!S16</f>
        <v>0</v>
      </c>
      <c r="UK18" s="734">
        <f t="shared" si="190"/>
        <v>0</v>
      </c>
      <c r="UL18" s="1513"/>
      <c r="UM18" s="1426"/>
      <c r="UN18" s="1624"/>
      <c r="UO18" s="1585">
        <f t="shared" si="191"/>
        <v>57349648.560000002</v>
      </c>
      <c r="UP18" s="833">
        <f>'[1]Иные межбюджетные трансферты'!E16</f>
        <v>0</v>
      </c>
      <c r="UQ18" s="880">
        <f>'[1]Иные межбюджетные трансферты'!G16</f>
        <v>0</v>
      </c>
      <c r="UR18" s="830">
        <f>'[1]Иные межбюджетные трансферты'!M16</f>
        <v>8304400</v>
      </c>
      <c r="US18" s="1044"/>
      <c r="UT18" s="1498">
        <f>'[1]Иные межбюджетные трансферты'!AY16</f>
        <v>48036000</v>
      </c>
      <c r="UU18" s="1539">
        <f>'[1]Иные межбюджетные трансферты'!BA16</f>
        <v>1009248.56</v>
      </c>
      <c r="UV18" s="834">
        <f t="shared" si="192"/>
        <v>56098179</v>
      </c>
      <c r="UW18" s="908"/>
      <c r="UX18" s="906"/>
      <c r="UY18" s="1425">
        <v>7052930.4400000004</v>
      </c>
      <c r="UZ18" s="516"/>
      <c r="VA18" s="518">
        <f t="shared" si="102"/>
        <v>48036000</v>
      </c>
      <c r="VB18" s="516">
        <f t="shared" si="193"/>
        <v>1009248.56</v>
      </c>
      <c r="VC18" s="899">
        <f t="shared" si="194"/>
        <v>18095776.739999998</v>
      </c>
      <c r="VD18" s="830">
        <f>'[1]Иные межбюджетные трансферты'!AM16</f>
        <v>14939897.189999999</v>
      </c>
      <c r="VE18" s="1587">
        <f>'[1]Иные межбюджетные трансферты'!BC16</f>
        <v>3155879.5500000003</v>
      </c>
      <c r="VF18" s="1495">
        <f t="shared" si="195"/>
        <v>13675521.620000001</v>
      </c>
      <c r="VG18" s="753">
        <v>10519642.07</v>
      </c>
      <c r="VH18" s="1251">
        <f t="shared" si="196"/>
        <v>3155879.5500000003</v>
      </c>
      <c r="VI18" s="1199">
        <f t="shared" si="197"/>
        <v>18095776.739999998</v>
      </c>
      <c r="VJ18" s="516">
        <f>'Проверочная  таблица'!VD18-VP18</f>
        <v>14939897.189999999</v>
      </c>
      <c r="VK18" s="516">
        <f>'Проверочная  таблица'!VE18-VQ18</f>
        <v>3155879.5500000003</v>
      </c>
      <c r="VL18" s="1199">
        <f t="shared" si="198"/>
        <v>13675521.620000001</v>
      </c>
      <c r="VM18" s="516">
        <f>'Проверочная  таблица'!VG18-VS18</f>
        <v>10519642.07</v>
      </c>
      <c r="VN18" s="516">
        <f>'Проверочная  таблица'!VH18-VT18</f>
        <v>3155879.5500000003</v>
      </c>
      <c r="VO18" s="1199">
        <f t="shared" si="199"/>
        <v>0</v>
      </c>
      <c r="VP18" s="833">
        <f>'[1]Иные межбюджетные трансферты'!AO16</f>
        <v>0</v>
      </c>
      <c r="VQ18" s="830">
        <f>'[1]Иные межбюджетные трансферты'!BE16</f>
        <v>0</v>
      </c>
      <c r="VR18" s="1501">
        <f t="shared" si="200"/>
        <v>0</v>
      </c>
      <c r="VS18" s="1492"/>
      <c r="VT18" s="518">
        <f t="shared" si="201"/>
        <v>0</v>
      </c>
      <c r="VU18" s="521">
        <f>VW18+'Проверочная  таблица'!WE18+WA18+'Проверочная  таблица'!WI18+WC18+'Проверочная  таблица'!WK18</f>
        <v>-36000</v>
      </c>
      <c r="VV18" s="521">
        <f>VX18+'Проверочная  таблица'!WF18+WB18+'Проверочная  таблица'!WJ18+WD18+'Проверочная  таблица'!WL18</f>
        <v>-36000</v>
      </c>
      <c r="VW18" s="533"/>
      <c r="VX18" s="533"/>
      <c r="VY18" s="533"/>
      <c r="VZ18" s="533"/>
      <c r="WA18" s="530">
        <f t="shared" si="103"/>
        <v>0</v>
      </c>
      <c r="WB18" s="528">
        <f t="shared" si="104"/>
        <v>0</v>
      </c>
      <c r="WC18" s="534"/>
      <c r="WD18" s="523"/>
      <c r="WE18" s="533"/>
      <c r="WF18" s="533"/>
      <c r="WG18" s="533">
        <f>-7000-29000</f>
        <v>-36000</v>
      </c>
      <c r="WH18" s="533">
        <f>-7000-29000</f>
        <v>-36000</v>
      </c>
      <c r="WI18" s="530">
        <f t="shared" si="105"/>
        <v>-36000</v>
      </c>
      <c r="WJ18" s="528">
        <f t="shared" si="106"/>
        <v>-36000</v>
      </c>
      <c r="WK18" s="523"/>
      <c r="WL18" s="523"/>
      <c r="WM18" s="252">
        <f>'Проверочная  таблица'!WE18+'Проверочная  таблица'!WG18</f>
        <v>-36000</v>
      </c>
      <c r="WN18" s="252">
        <f>'Проверочная  таблица'!WF18+'Проверочная  таблица'!WH18</f>
        <v>-36000</v>
      </c>
      <c r="WO18" s="1042"/>
    </row>
    <row r="19" spans="1:613" s="338" customFormat="1" ht="25.5" customHeight="1" x14ac:dyDescent="0.25">
      <c r="A19" s="347" t="s">
        <v>86</v>
      </c>
      <c r="B19" s="526">
        <f>D19+AI19+'Проверочная  таблица'!RA19+'Проверочная  таблица'!SK19</f>
        <v>618881338.00999999</v>
      </c>
      <c r="C19" s="521">
        <f>E19+'Проверочная  таблица'!RD19+AJ19+'Проверочная  таблица'!SL19</f>
        <v>494996180.98000002</v>
      </c>
      <c r="D19" s="524">
        <f t="shared" si="0"/>
        <v>209685860</v>
      </c>
      <c r="E19" s="526">
        <f t="shared" si="1"/>
        <v>168394185</v>
      </c>
      <c r="F19" s="581">
        <f>'[1]Дотация  из  ОБ_факт'!M15</f>
        <v>79103900</v>
      </c>
      <c r="G19" s="963">
        <v>59328000</v>
      </c>
      <c r="H19" s="581">
        <f>'[1]Дотация  из  ОБ_факт'!G15</f>
        <v>45899000</v>
      </c>
      <c r="I19" s="963">
        <v>34424750</v>
      </c>
      <c r="J19" s="582">
        <f t="shared" si="2"/>
        <v>35180000</v>
      </c>
      <c r="K19" s="588">
        <f t="shared" si="3"/>
        <v>26385500</v>
      </c>
      <c r="L19" s="835">
        <f>'[1]Дотация  из  ОБ_факт'!K15</f>
        <v>10719000</v>
      </c>
      <c r="M19" s="1446">
        <v>8039250</v>
      </c>
      <c r="N19" s="581">
        <f>'[1]Дотация  из  ОБ_факт'!Q15</f>
        <v>32520660</v>
      </c>
      <c r="O19" s="963">
        <v>32520660</v>
      </c>
      <c r="P19" s="581">
        <f>'[1]Дотация  из  ОБ_факт'!S15</f>
        <v>49771050</v>
      </c>
      <c r="Q19" s="1442">
        <v>39729525</v>
      </c>
      <c r="R19" s="588">
        <f t="shared" si="4"/>
        <v>39821472</v>
      </c>
      <c r="S19" s="583">
        <f t="shared" si="5"/>
        <v>31659747</v>
      </c>
      <c r="T19" s="835">
        <f>'[1]Дотация  из  ОБ_факт'!W15</f>
        <v>9949577.9999999981</v>
      </c>
      <c r="U19" s="1448">
        <v>8069778</v>
      </c>
      <c r="V19" s="581">
        <f>'[1]Дотация  из  ОБ_факт'!AA15+'[1]Дотация  из  ОБ_факт'!AC15+'[1]Дотация  из  ОБ_факт'!AG15</f>
        <v>700000</v>
      </c>
      <c r="W19" s="461">
        <f t="shared" si="6"/>
        <v>700000</v>
      </c>
      <c r="X19" s="585"/>
      <c r="Y19" s="584">
        <v>700000</v>
      </c>
      <c r="Z19" s="585"/>
      <c r="AA19" s="581">
        <f>'[1]Дотация  из  ОБ_факт'!Y15+'[1]Дотация  из  ОБ_факт'!AE15</f>
        <v>1691250</v>
      </c>
      <c r="AB19" s="172">
        <f t="shared" si="7"/>
        <v>1691250</v>
      </c>
      <c r="AC19" s="584">
        <v>191250</v>
      </c>
      <c r="AD19" s="585">
        <v>1500000</v>
      </c>
      <c r="AE19" s="582">
        <f t="shared" si="8"/>
        <v>191250</v>
      </c>
      <c r="AF19" s="588">
        <f t="shared" si="9"/>
        <v>191250</v>
      </c>
      <c r="AG19" s="1187">
        <f>'[1]Дотация  из  ОБ_факт'!AE15</f>
        <v>1500000</v>
      </c>
      <c r="AH19" s="1480">
        <f t="shared" si="107"/>
        <v>1500000</v>
      </c>
      <c r="AI19" s="579">
        <f>'Проверочная  таблица'!KW19+'Проверочная  таблица'!QS19+'Проверочная  таблица'!QU19+CS19+CU19+DA19+DC19+BU19+CE19+'Проверочная  таблица'!IQ19+'Проверочная  таблица'!JK19+'Проверочная  таблица'!EE19+'Проверочная  таблица'!KO19+DQ19+'Проверочная  таблица'!HQ19+'Проверочная  таблица'!HW19+'Проверочная  таблица'!LA19+'Проверочная  таблица'!LI19+HK19+FQ19+FE19+NK19+EY19+AK19+AW19+FK19+GM19+GS19+DI19+NQ19+FW19+EK19+OE19+MG19+GG19+PU19+QA19</f>
        <v>80412602.699999973</v>
      </c>
      <c r="AJ19" s="498">
        <f>'Проверочная  таблица'!KY19+'Проверочная  таблица'!QT19+'Проверочная  таблица'!QV19+CT19+CV19+DB19+DD19+BZ19+CJ19+'Проверочная  таблица'!JA19+'Проверочная  таблица'!JP19+'Проверочная  таблица'!EH19+'Проверочная  таблица'!KS19+DX19+'Проверочная  таблица'!HT19+'Проверочная  таблица'!HZ19+'Проверочная  таблица'!LE19+'Проверочная  таблица'!LM19+HN19+FN19+FT19+FH19+NN19+FB19+AQ19+BA19+GP19+GV19+DM19+NX19+FZ19+ER19+OL19+ML19+GJ19+PX19+QD19</f>
        <v>55946491.919999994</v>
      </c>
      <c r="AK19" s="466">
        <f t="shared" si="108"/>
        <v>0</v>
      </c>
      <c r="AL19" s="525">
        <f>[1]Субсидия_факт!CD17</f>
        <v>0</v>
      </c>
      <c r="AM19" s="508">
        <f>[1]Субсидия_факт!EX17</f>
        <v>0</v>
      </c>
      <c r="AN19" s="506">
        <f>[1]Субсидия_факт!FJ17</f>
        <v>0</v>
      </c>
      <c r="AO19" s="525">
        <f>[1]Субсидия_факт!LT17</f>
        <v>0</v>
      </c>
      <c r="AP19" s="622">
        <f>[1]Субсидия_факт!LZ17</f>
        <v>0</v>
      </c>
      <c r="AQ19" s="748">
        <f t="shared" si="109"/>
        <v>0</v>
      </c>
      <c r="AR19" s="474"/>
      <c r="AS19" s="474"/>
      <c r="AT19" s="474"/>
      <c r="AU19" s="474"/>
      <c r="AV19" s="531"/>
      <c r="AW19" s="498">
        <f t="shared" si="10"/>
        <v>0</v>
      </c>
      <c r="AX19" s="525">
        <f>[1]Субсидия_факт!CF17</f>
        <v>0</v>
      </c>
      <c r="AY19" s="508">
        <f>[1]Субсидия_факт!FB17</f>
        <v>0</v>
      </c>
      <c r="AZ19" s="646">
        <f>[1]Субсидия_факт!LV17</f>
        <v>0</v>
      </c>
      <c r="BA19" s="466">
        <f t="shared" si="11"/>
        <v>0</v>
      </c>
      <c r="BB19" s="531"/>
      <c r="BC19" s="531"/>
      <c r="BD19" s="532"/>
      <c r="BE19" s="669">
        <f t="shared" si="12"/>
        <v>0</v>
      </c>
      <c r="BF19" s="652">
        <f t="shared" si="13"/>
        <v>0</v>
      </c>
      <c r="BG19" s="464">
        <f t="shared" si="14"/>
        <v>0</v>
      </c>
      <c r="BH19" s="341">
        <f t="shared" si="15"/>
        <v>0</v>
      </c>
      <c r="BI19" s="669">
        <f t="shared" si="16"/>
        <v>0</v>
      </c>
      <c r="BJ19" s="622">
        <f t="shared" si="17"/>
        <v>0</v>
      </c>
      <c r="BK19" s="506">
        <f t="shared" si="18"/>
        <v>0</v>
      </c>
      <c r="BL19" s="341">
        <f t="shared" si="19"/>
        <v>0</v>
      </c>
      <c r="BM19" s="667">
        <f t="shared" si="20"/>
        <v>0</v>
      </c>
      <c r="BN19" s="525">
        <f>[1]Субсидия_факт!CH17</f>
        <v>0</v>
      </c>
      <c r="BO19" s="508">
        <f>[1]Субсидия_факт!FD17</f>
        <v>0</v>
      </c>
      <c r="BP19" s="646">
        <f>[1]Субсидия_факт!LX17</f>
        <v>0</v>
      </c>
      <c r="BQ19" s="669">
        <f t="shared" si="21"/>
        <v>0</v>
      </c>
      <c r="BR19" s="532"/>
      <c r="BS19" s="531"/>
      <c r="BT19" s="532"/>
      <c r="BU19" s="521">
        <f t="shared" si="110"/>
        <v>31359172.839999996</v>
      </c>
      <c r="BV19" s="562">
        <f>[1]Субсидия_факт!HB17</f>
        <v>0</v>
      </c>
      <c r="BW19" s="516">
        <f>[1]Субсидия_факт!HH17</f>
        <v>31359172.839999996</v>
      </c>
      <c r="BX19" s="531">
        <f>[1]Субсидия_факт!HP17</f>
        <v>0</v>
      </c>
      <c r="BY19" s="562">
        <f>[1]Субсидия_факт!HV17</f>
        <v>0</v>
      </c>
      <c r="BZ19" s="521">
        <f t="shared" si="111"/>
        <v>28072064.469999999</v>
      </c>
      <c r="CA19" s="531"/>
      <c r="CB19" s="531">
        <v>28072064.469999999</v>
      </c>
      <c r="CC19" s="625"/>
      <c r="CD19" s="625"/>
      <c r="CE19" s="526">
        <f t="shared" si="112"/>
        <v>5683135.2299999995</v>
      </c>
      <c r="CF19" s="525">
        <f>[1]Субсидия_факт!HD17</f>
        <v>0</v>
      </c>
      <c r="CG19" s="525">
        <f>[1]Субсидия_факт!HJ17</f>
        <v>5683135.2299999995</v>
      </c>
      <c r="CH19" s="531">
        <f>[1]Субсидия_факт!HR17</f>
        <v>0</v>
      </c>
      <c r="CI19" s="646">
        <f>[1]Субсидия_факт!HX17</f>
        <v>0</v>
      </c>
      <c r="CJ19" s="521">
        <f t="shared" si="113"/>
        <v>5683135.2300000004</v>
      </c>
      <c r="CK19" s="531"/>
      <c r="CL19" s="532">
        <v>5683135.2300000004</v>
      </c>
      <c r="CM19" s="625"/>
      <c r="CN19" s="724"/>
      <c r="CO19" s="530">
        <f t="shared" si="22"/>
        <v>0</v>
      </c>
      <c r="CP19" s="528">
        <f t="shared" si="23"/>
        <v>0</v>
      </c>
      <c r="CQ19" s="527">
        <f t="shared" si="114"/>
        <v>5683135.2299999995</v>
      </c>
      <c r="CR19" s="530">
        <f t="shared" si="115"/>
        <v>5683135.2300000004</v>
      </c>
      <c r="CS19" s="521">
        <f>[1]Субсидия_факт!FL17</f>
        <v>0</v>
      </c>
      <c r="CT19" s="620"/>
      <c r="CU19" s="521">
        <f>[1]Субсидия_факт!FN17</f>
        <v>0</v>
      </c>
      <c r="CV19" s="620"/>
      <c r="CW19" s="528">
        <f t="shared" si="24"/>
        <v>0</v>
      </c>
      <c r="CX19" s="527">
        <f t="shared" si="25"/>
        <v>0</v>
      </c>
      <c r="CY19" s="587">
        <f>[1]Субсидия_факт!FP17</f>
        <v>0</v>
      </c>
      <c r="CZ19" s="1480">
        <f t="shared" si="205"/>
        <v>0</v>
      </c>
      <c r="DA19" s="526">
        <f>[1]Субсидия_факт!FR17</f>
        <v>0</v>
      </c>
      <c r="DB19" s="339"/>
      <c r="DC19" s="524">
        <f>[1]Субсидия_факт!FT17</f>
        <v>0</v>
      </c>
      <c r="DD19" s="339"/>
      <c r="DE19" s="1238">
        <f t="shared" si="26"/>
        <v>0</v>
      </c>
      <c r="DF19" s="528">
        <f t="shared" si="27"/>
        <v>0</v>
      </c>
      <c r="DG19" s="663">
        <f>[1]Субсидия_факт!FV17</f>
        <v>0</v>
      </c>
      <c r="DH19" s="1478">
        <f t="shared" si="116"/>
        <v>0</v>
      </c>
      <c r="DI19" s="498">
        <f t="shared" si="117"/>
        <v>0</v>
      </c>
      <c r="DJ19" s="625">
        <f>[1]Субсидия_факт!EV17</f>
        <v>0</v>
      </c>
      <c r="DK19" s="516">
        <f>[1]Субсидия_факт!EL17</f>
        <v>0</v>
      </c>
      <c r="DL19" s="838">
        <f>[1]Субсидия_факт!EN17</f>
        <v>0</v>
      </c>
      <c r="DM19" s="466">
        <f t="shared" si="118"/>
        <v>0</v>
      </c>
      <c r="DN19" s="625"/>
      <c r="DO19" s="625"/>
      <c r="DP19" s="987"/>
      <c r="DQ19" s="526">
        <f t="shared" si="28"/>
        <v>2425400</v>
      </c>
      <c r="DR19" s="508">
        <f>[1]Субсидия_факт!N17</f>
        <v>0</v>
      </c>
      <c r="DS19" s="652">
        <f>[1]Субсидия_факт!P17</f>
        <v>0</v>
      </c>
      <c r="DT19" s="682">
        <f>[1]Субсидия_факт!R17</f>
        <v>0</v>
      </c>
      <c r="DU19" s="506">
        <f>[1]Субсидия_факт!T17</f>
        <v>0</v>
      </c>
      <c r="DV19" s="689">
        <f>[1]Субсидия_факт!V17</f>
        <v>0</v>
      </c>
      <c r="DW19" s="506">
        <f>[1]Субсидия_факт!X17</f>
        <v>2425400</v>
      </c>
      <c r="DX19" s="521">
        <f t="shared" si="29"/>
        <v>1176090.1200000001</v>
      </c>
      <c r="DY19" s="532"/>
      <c r="DZ19" s="531"/>
      <c r="EA19" s="686"/>
      <c r="EB19" s="531"/>
      <c r="EC19" s="686"/>
      <c r="ED19" s="531">
        <v>1176090.1200000001</v>
      </c>
      <c r="EE19" s="498">
        <f t="shared" si="30"/>
        <v>0</v>
      </c>
      <c r="EF19" s="516">
        <f>[1]Субсидия_факт!BL17</f>
        <v>0</v>
      </c>
      <c r="EG19" s="838">
        <f>[1]Субсидия_факт!BN17</f>
        <v>0</v>
      </c>
      <c r="EH19" s="466">
        <f t="shared" si="31"/>
        <v>0</v>
      </c>
      <c r="EI19" s="772"/>
      <c r="EJ19" s="987"/>
      <c r="EK19" s="526">
        <f t="shared" si="32"/>
        <v>0</v>
      </c>
      <c r="EL19" s="525">
        <f>[1]Субсидия_факт!AF17</f>
        <v>0</v>
      </c>
      <c r="EM19" s="689">
        <f>[1]Субсидия_факт!AH17</f>
        <v>0</v>
      </c>
      <c r="EN19" s="506">
        <f>[1]Субсидия_факт!AJ17</f>
        <v>0</v>
      </c>
      <c r="EO19" s="866">
        <f>[1]Субсидия_факт!AL17</f>
        <v>0</v>
      </c>
      <c r="EP19" s="622">
        <f>[1]Субсидия_факт!AN17</f>
        <v>0</v>
      </c>
      <c r="EQ19" s="712">
        <f>[1]Субсидия_факт!AP17</f>
        <v>0</v>
      </c>
      <c r="ER19" s="521">
        <f t="shared" si="33"/>
        <v>0</v>
      </c>
      <c r="ES19" s="474"/>
      <c r="ET19" s="686"/>
      <c r="EU19" s="474"/>
      <c r="EV19" s="686"/>
      <c r="EW19" s="474"/>
      <c r="EX19" s="686"/>
      <c r="EY19" s="498">
        <f t="shared" si="34"/>
        <v>0</v>
      </c>
      <c r="EZ19" s="516">
        <f>[1]Субсидия_факт!AV17</f>
        <v>0</v>
      </c>
      <c r="FA19" s="752">
        <f>[1]Субсидия_факт!AX17</f>
        <v>0</v>
      </c>
      <c r="FB19" s="466">
        <f t="shared" si="35"/>
        <v>0</v>
      </c>
      <c r="FC19" s="772"/>
      <c r="FD19" s="678"/>
      <c r="FE19" s="498">
        <f t="shared" si="36"/>
        <v>0</v>
      </c>
      <c r="FF19" s="516">
        <f>[1]Субсидия_факт!BT17</f>
        <v>0</v>
      </c>
      <c r="FG19" s="838">
        <f>[1]Субсидия_факт!BV17</f>
        <v>0</v>
      </c>
      <c r="FH19" s="466">
        <f t="shared" si="37"/>
        <v>0</v>
      </c>
      <c r="FI19" s="772"/>
      <c r="FJ19" s="678"/>
      <c r="FK19" s="498">
        <f t="shared" si="38"/>
        <v>0</v>
      </c>
      <c r="FL19" s="516">
        <f>[1]Субсидия_факт!BP17</f>
        <v>0</v>
      </c>
      <c r="FM19" s="838">
        <f>[1]Субсидия_факт!BR17</f>
        <v>0</v>
      </c>
      <c r="FN19" s="466">
        <f t="shared" si="39"/>
        <v>0</v>
      </c>
      <c r="FO19" s="772"/>
      <c r="FP19" s="678"/>
      <c r="FQ19" s="498">
        <f t="shared" si="40"/>
        <v>0</v>
      </c>
      <c r="FR19" s="516">
        <f>[1]Субсидия_факт!IV17</f>
        <v>0</v>
      </c>
      <c r="FS19" s="838">
        <f>[1]Субсидия_факт!IX17</f>
        <v>0</v>
      </c>
      <c r="FT19" s="466">
        <f t="shared" si="41"/>
        <v>0</v>
      </c>
      <c r="FU19" s="772"/>
      <c r="FV19" s="678"/>
      <c r="FW19" s="498">
        <f t="shared" si="42"/>
        <v>0</v>
      </c>
      <c r="FX19" s="516">
        <f>[1]Субсидия_факт!IZ17</f>
        <v>0</v>
      </c>
      <c r="FY19" s="838">
        <f>[1]Субсидия_факт!JD17</f>
        <v>0</v>
      </c>
      <c r="FZ19" s="466">
        <f t="shared" si="43"/>
        <v>0</v>
      </c>
      <c r="GA19" s="772"/>
      <c r="GB19" s="678"/>
      <c r="GC19" s="667">
        <f t="shared" si="119"/>
        <v>0</v>
      </c>
      <c r="GD19" s="669">
        <f t="shared" si="120"/>
        <v>0</v>
      </c>
      <c r="GE19" s="667">
        <f t="shared" si="121"/>
        <v>0</v>
      </c>
      <c r="GF19" s="669">
        <f t="shared" si="122"/>
        <v>0</v>
      </c>
      <c r="GG19" s="498">
        <f t="shared" si="123"/>
        <v>0</v>
      </c>
      <c r="GH19" s="1251">
        <f>[1]Субсидия_факт!BH17</f>
        <v>0</v>
      </c>
      <c r="GI19" s="676">
        <f>[1]Субсидия_факт!BJ17</f>
        <v>0</v>
      </c>
      <c r="GJ19" s="498">
        <f t="shared" si="124"/>
        <v>0</v>
      </c>
      <c r="GK19" s="724"/>
      <c r="GL19" s="678"/>
      <c r="GM19" s="498">
        <f t="shared" si="44"/>
        <v>0</v>
      </c>
      <c r="GN19" s="516"/>
      <c r="GO19" s="838"/>
      <c r="GP19" s="466">
        <f t="shared" si="45"/>
        <v>0</v>
      </c>
      <c r="GQ19" s="724"/>
      <c r="GR19" s="678"/>
      <c r="GS19" s="498">
        <f t="shared" si="46"/>
        <v>316043</v>
      </c>
      <c r="GT19" s="516">
        <f>[1]Субсидия_факт!FZ17</f>
        <v>157924.10999999999</v>
      </c>
      <c r="GU19" s="838">
        <f>[1]Субсидия_факт!GD17</f>
        <v>158118.89000000001</v>
      </c>
      <c r="GV19" s="466">
        <f t="shared" si="47"/>
        <v>316043</v>
      </c>
      <c r="GW19" s="724">
        <v>157924.10999999999</v>
      </c>
      <c r="GX19" s="678">
        <v>158118.89000000001</v>
      </c>
      <c r="GY19" s="667">
        <f t="shared" si="48"/>
        <v>316043</v>
      </c>
      <c r="GZ19" s="516">
        <f t="shared" si="125"/>
        <v>157924.10999999999</v>
      </c>
      <c r="HA19" s="838">
        <f t="shared" si="125"/>
        <v>158118.89000000001</v>
      </c>
      <c r="HB19" s="669">
        <f t="shared" si="49"/>
        <v>316043</v>
      </c>
      <c r="HC19" s="516">
        <f t="shared" si="125"/>
        <v>157924.10999999999</v>
      </c>
      <c r="HD19" s="838">
        <f t="shared" si="125"/>
        <v>158118.89000000001</v>
      </c>
      <c r="HE19" s="667">
        <f t="shared" si="50"/>
        <v>0</v>
      </c>
      <c r="HF19" s="516">
        <f>[1]Субсидия_факт!GB17</f>
        <v>0</v>
      </c>
      <c r="HG19" s="838">
        <f>[1]Субсидия_факт!GF17</f>
        <v>0</v>
      </c>
      <c r="HH19" s="669">
        <f t="shared" si="51"/>
        <v>0</v>
      </c>
      <c r="HI19" s="724"/>
      <c r="HJ19" s="678"/>
      <c r="HK19" s="526">
        <f t="shared" si="126"/>
        <v>0</v>
      </c>
      <c r="HL19" s="518">
        <f>[1]Субсидия_факт!DD17</f>
        <v>0</v>
      </c>
      <c r="HM19" s="752">
        <f>[1]Субсидия_факт!DF17</f>
        <v>0</v>
      </c>
      <c r="HN19" s="521">
        <f t="shared" si="127"/>
        <v>0</v>
      </c>
      <c r="HO19" s="531"/>
      <c r="HP19" s="706"/>
      <c r="HQ19" s="579">
        <f t="shared" si="54"/>
        <v>750724.55</v>
      </c>
      <c r="HR19" s="516">
        <f>[1]Субсидия_факт!CR17</f>
        <v>210202.89</v>
      </c>
      <c r="HS19" s="838">
        <f>[1]Субсидия_факт!CX17</f>
        <v>540521.66</v>
      </c>
      <c r="HT19" s="466">
        <f t="shared" si="55"/>
        <v>750724.55</v>
      </c>
      <c r="HU19" s="1251">
        <f t="shared" si="202"/>
        <v>210202.89</v>
      </c>
      <c r="HV19" s="1519">
        <f t="shared" si="202"/>
        <v>540521.66</v>
      </c>
      <c r="HW19" s="466">
        <f t="shared" si="56"/>
        <v>1774341.4499999997</v>
      </c>
      <c r="HX19" s="516">
        <f>[1]Субсидия_факт!CT17</f>
        <v>496815.66000000003</v>
      </c>
      <c r="HY19" s="752">
        <f>[1]Субсидия_факт!CZ17</f>
        <v>1277525.7899999998</v>
      </c>
      <c r="HZ19" s="466">
        <f t="shared" si="57"/>
        <v>1774341.4500000002</v>
      </c>
      <c r="IA19" s="757">
        <f t="shared" si="128"/>
        <v>496815.66000000003</v>
      </c>
      <c r="IB19" s="789">
        <f t="shared" si="129"/>
        <v>1277525.79</v>
      </c>
      <c r="IC19" s="625">
        <v>707018.55</v>
      </c>
      <c r="ID19" s="709">
        <v>1818047.45</v>
      </c>
      <c r="IE19" s="669">
        <f t="shared" si="58"/>
        <v>1023616.8999999998</v>
      </c>
      <c r="IF19" s="750">
        <f>'Проверочная  таблица'!HX19-'Проверочная  таблица'!IL19</f>
        <v>286612.77</v>
      </c>
      <c r="IG19" s="676">
        <f>'Проверочная  таблица'!HY19-'Проверочная  таблица'!IM19</f>
        <v>737004.12999999977</v>
      </c>
      <c r="IH19" s="663">
        <f t="shared" si="59"/>
        <v>1023616.9</v>
      </c>
      <c r="II19" s="757">
        <f>'Проверочная  таблица'!IA19-'Проверочная  таблица'!IO19</f>
        <v>286612.77</v>
      </c>
      <c r="IJ19" s="768">
        <f>'Проверочная  таблица'!IB19-'Проверочная  таблица'!IP19</f>
        <v>737004.13</v>
      </c>
      <c r="IK19" s="669">
        <f t="shared" si="60"/>
        <v>750724.55</v>
      </c>
      <c r="IL19" s="516">
        <f>[1]Субсидия_факт!CV17</f>
        <v>210202.89</v>
      </c>
      <c r="IM19" s="838">
        <f>[1]Субсидия_факт!DB17</f>
        <v>540521.66</v>
      </c>
      <c r="IN19" s="669">
        <f t="shared" si="61"/>
        <v>750724.55</v>
      </c>
      <c r="IO19" s="1251">
        <f>IL19</f>
        <v>210202.89</v>
      </c>
      <c r="IP19" s="676">
        <f>IM19</f>
        <v>540521.66</v>
      </c>
      <c r="IQ19" s="466">
        <f t="shared" si="130"/>
        <v>0</v>
      </c>
      <c r="IR19" s="757">
        <f>[1]Субсидия_факт!CJ17</f>
        <v>0</v>
      </c>
      <c r="IS19" s="676">
        <f>[1]Субсидия_факт!CN17</f>
        <v>0</v>
      </c>
      <c r="IT19" s="757">
        <f>[1]Субсидия_факт!DH17</f>
        <v>0</v>
      </c>
      <c r="IU19" s="676">
        <f>[1]Субсидия_факт!DN17</f>
        <v>0</v>
      </c>
      <c r="IV19" s="525">
        <f>[1]Субсидия_факт!DX17</f>
        <v>0</v>
      </c>
      <c r="IW19" s="689">
        <f>[1]Субсидия_факт!DZ17</f>
        <v>0</v>
      </c>
      <c r="IX19" s="1295">
        <f>[1]Субсидия_факт!DT17</f>
        <v>0</v>
      </c>
      <c r="IY19" s="676">
        <f>[1]Субсидия_факт!DV17</f>
        <v>0</v>
      </c>
      <c r="IZ19" s="516">
        <f>[1]Субсидия_факт!EB17</f>
        <v>0</v>
      </c>
      <c r="JA19" s="466">
        <f t="shared" si="131"/>
        <v>0</v>
      </c>
      <c r="JB19" s="625"/>
      <c r="JC19" s="678"/>
      <c r="JD19" s="625"/>
      <c r="JE19" s="678"/>
      <c r="JF19" s="531"/>
      <c r="JG19" s="706"/>
      <c r="JH19" s="625"/>
      <c r="JI19" s="678"/>
      <c r="JJ19" s="757">
        <f t="shared" si="132"/>
        <v>0</v>
      </c>
      <c r="JK19" s="748">
        <f t="shared" si="133"/>
        <v>0</v>
      </c>
      <c r="JL19" s="757">
        <f>[1]Субсидия_факт!CL17</f>
        <v>0</v>
      </c>
      <c r="JM19" s="676">
        <f>[1]Субсидия_факт!CP17</f>
        <v>0</v>
      </c>
      <c r="JN19" s="757">
        <f>[1]Субсидия_факт!DJ17</f>
        <v>0</v>
      </c>
      <c r="JO19" s="676">
        <f>[1]Субсидия_факт!DP17</f>
        <v>0</v>
      </c>
      <c r="JP19" s="748">
        <f t="shared" si="134"/>
        <v>0</v>
      </c>
      <c r="JQ19" s="625"/>
      <c r="JR19" s="678"/>
      <c r="JS19" s="625"/>
      <c r="JT19" s="678"/>
      <c r="JU19" s="587">
        <f t="shared" si="135"/>
        <v>0</v>
      </c>
      <c r="JV19" s="757">
        <f>'Проверочная  таблица'!JL19-KF19</f>
        <v>0</v>
      </c>
      <c r="JW19" s="676">
        <f>'Проверочная  таблица'!JM19-KG19</f>
        <v>0</v>
      </c>
      <c r="JX19" s="757">
        <f>'Проверочная  таблица'!JN19-KH19</f>
        <v>0</v>
      </c>
      <c r="JY19" s="676">
        <f>'Проверочная  таблица'!JO19-KI19</f>
        <v>0</v>
      </c>
      <c r="JZ19" s="587">
        <f t="shared" si="136"/>
        <v>0</v>
      </c>
      <c r="KA19" s="757">
        <f>'Проверочная  таблица'!JQ19-KK19</f>
        <v>0</v>
      </c>
      <c r="KB19" s="676">
        <f>'Проверочная  таблица'!JR19-KL19</f>
        <v>0</v>
      </c>
      <c r="KC19" s="757">
        <f>'Проверочная  таблица'!JS19-KM19</f>
        <v>0</v>
      </c>
      <c r="KD19" s="789">
        <f>'Проверочная  таблица'!JT19-KN19</f>
        <v>0</v>
      </c>
      <c r="KE19" s="587">
        <f t="shared" si="137"/>
        <v>0</v>
      </c>
      <c r="KF19" s="625"/>
      <c r="KG19" s="678"/>
      <c r="KH19" s="757">
        <f>[1]Субсидия_факт!DL17</f>
        <v>0</v>
      </c>
      <c r="KI19" s="1519">
        <f>[1]Субсидия_факт!DR17</f>
        <v>0</v>
      </c>
      <c r="KJ19" s="587">
        <f t="shared" si="138"/>
        <v>0</v>
      </c>
      <c r="KK19" s="753"/>
      <c r="KL19" s="678"/>
      <c r="KM19" s="625"/>
      <c r="KN19" s="678"/>
      <c r="KO19" s="579">
        <f t="shared" si="139"/>
        <v>0</v>
      </c>
      <c r="KP19" s="516">
        <f>[1]Субсидия_факт!BX17</f>
        <v>0</v>
      </c>
      <c r="KQ19" s="838">
        <f>[1]Субсидия_факт!BZ17</f>
        <v>0</v>
      </c>
      <c r="KR19" s="516">
        <f>[1]Субсидия_факт!CB17</f>
        <v>0</v>
      </c>
      <c r="KS19" s="466">
        <f t="shared" si="140"/>
        <v>0</v>
      </c>
      <c r="KT19" s="625"/>
      <c r="KU19" s="678"/>
      <c r="KV19" s="625"/>
      <c r="KW19" s="498">
        <f t="shared" si="62"/>
        <v>0</v>
      </c>
      <c r="KX19" s="508">
        <f>[1]Субсидия_факт!GN17</f>
        <v>0</v>
      </c>
      <c r="KY19" s="466">
        <f t="shared" si="63"/>
        <v>0</v>
      </c>
      <c r="KZ19" s="625"/>
      <c r="LA19" s="754">
        <f t="shared" si="206"/>
        <v>0</v>
      </c>
      <c r="LB19" s="516">
        <f>[1]Субсидия_факт!JT17</f>
        <v>0</v>
      </c>
      <c r="LC19" s="838">
        <f>[1]Субсидия_факт!JZ17</f>
        <v>0</v>
      </c>
      <c r="LD19" s="508"/>
      <c r="LE19" s="754">
        <f t="shared" si="207"/>
        <v>0</v>
      </c>
      <c r="LF19" s="772"/>
      <c r="LG19" s="678"/>
      <c r="LH19" s="625"/>
      <c r="LI19" s="754">
        <f t="shared" si="141"/>
        <v>18900000</v>
      </c>
      <c r="LJ19" s="516">
        <f>[1]Субсидия_факт!JV17</f>
        <v>870000</v>
      </c>
      <c r="LK19" s="838">
        <f>[1]Субсидия_факт!KB17</f>
        <v>16530000</v>
      </c>
      <c r="LL19" s="518">
        <f>[1]Субсидия_факт!KF17</f>
        <v>1500000</v>
      </c>
      <c r="LM19" s="754">
        <f t="shared" si="142"/>
        <v>9919000.1099999994</v>
      </c>
      <c r="LN19" s="625">
        <v>495950</v>
      </c>
      <c r="LO19" s="771">
        <v>9423050.1099999994</v>
      </c>
      <c r="LP19" s="625"/>
      <c r="LQ19" s="756">
        <f t="shared" si="143"/>
        <v>0</v>
      </c>
      <c r="LR19" s="652">
        <f>'Проверочная  таблица'!LJ19-LZ19</f>
        <v>0</v>
      </c>
      <c r="LS19" s="682">
        <f>'Проверочная  таблица'!LK19-MA19</f>
        <v>0</v>
      </c>
      <c r="LT19" s="622">
        <f>'Проверочная  таблица'!LL19-MB19</f>
        <v>0</v>
      </c>
      <c r="LU19" s="756">
        <f t="shared" si="144"/>
        <v>0</v>
      </c>
      <c r="LV19" s="750">
        <f>'Проверочная  таблица'!LN19-MD19</f>
        <v>0</v>
      </c>
      <c r="LW19" s="676">
        <f>'Проверочная  таблица'!LO19-ME19</f>
        <v>0</v>
      </c>
      <c r="LX19" s="757">
        <f>'Проверочная  таблица'!LP19-MF19</f>
        <v>0</v>
      </c>
      <c r="LY19" s="756">
        <f t="shared" si="145"/>
        <v>18900000</v>
      </c>
      <c r="LZ19" s="516">
        <f>[1]Субсидия_факт!JX17</f>
        <v>870000</v>
      </c>
      <c r="MA19" s="838">
        <f>[1]Субсидия_факт!KD17</f>
        <v>16530000</v>
      </c>
      <c r="MB19" s="516">
        <f>[1]Субсидия_факт!KH17</f>
        <v>1500000</v>
      </c>
      <c r="MC19" s="756">
        <f t="shared" si="146"/>
        <v>9919000.1099999994</v>
      </c>
      <c r="MD19" s="750">
        <f t="shared" si="203"/>
        <v>495950</v>
      </c>
      <c r="ME19" s="676">
        <f t="shared" si="204"/>
        <v>9423050.1099999994</v>
      </c>
      <c r="MF19" s="516"/>
      <c r="MG19" s="521">
        <f t="shared" si="147"/>
        <v>1096091.96</v>
      </c>
      <c r="MH19" s="652">
        <f>[1]Субсидия_факт!KR17</f>
        <v>54804.6</v>
      </c>
      <c r="MI19" s="682">
        <f>[1]Субсидия_факт!KV17</f>
        <v>1041287.3599999999</v>
      </c>
      <c r="MJ19" s="750">
        <f>[1]Субсидия_факт!KZ17</f>
        <v>0</v>
      </c>
      <c r="MK19" s="1519">
        <f>[1]Субсидия_факт!LD17</f>
        <v>0</v>
      </c>
      <c r="ML19" s="521">
        <f t="shared" si="148"/>
        <v>0</v>
      </c>
      <c r="MM19" s="1609">
        <v>0</v>
      </c>
      <c r="MN19" s="706">
        <v>0</v>
      </c>
      <c r="MO19" s="342"/>
      <c r="MP19" s="770"/>
      <c r="MQ19" s="587">
        <f t="shared" si="149"/>
        <v>1096091.96</v>
      </c>
      <c r="MR19" s="1613">
        <f t="shared" si="64"/>
        <v>54804.6</v>
      </c>
      <c r="MS19" s="682">
        <f t="shared" si="65"/>
        <v>1041287.3599999999</v>
      </c>
      <c r="MT19" s="487">
        <f t="shared" si="66"/>
        <v>0</v>
      </c>
      <c r="MU19" s="682">
        <f t="shared" si="67"/>
        <v>0</v>
      </c>
      <c r="MV19" s="587">
        <f t="shared" si="150"/>
        <v>0</v>
      </c>
      <c r="MW19" s="487">
        <f t="shared" si="68"/>
        <v>0</v>
      </c>
      <c r="MX19" s="682">
        <f t="shared" si="69"/>
        <v>0</v>
      </c>
      <c r="MY19" s="487">
        <f t="shared" si="70"/>
        <v>0</v>
      </c>
      <c r="MZ19" s="682">
        <f t="shared" si="71"/>
        <v>0</v>
      </c>
      <c r="NA19" s="587">
        <f t="shared" si="151"/>
        <v>0</v>
      </c>
      <c r="NB19" s="1079">
        <f>[1]Субсидия_факт!KT17</f>
        <v>0</v>
      </c>
      <c r="NC19" s="682">
        <f>[1]Субсидия_факт!KX17</f>
        <v>0</v>
      </c>
      <c r="ND19" s="625">
        <f>[1]Субсидия_факт!LB17</f>
        <v>0</v>
      </c>
      <c r="NE19" s="709">
        <f>[1]Субсидия_факт!LF17</f>
        <v>0</v>
      </c>
      <c r="NF19" s="587">
        <f t="shared" si="152"/>
        <v>0</v>
      </c>
      <c r="NG19" s="487"/>
      <c r="NH19" s="712"/>
      <c r="NI19" s="342"/>
      <c r="NJ19" s="706"/>
      <c r="NK19" s="498">
        <f t="shared" si="72"/>
        <v>0</v>
      </c>
      <c r="NL19" s="516">
        <f>[1]Субсидия_факт!AB17</f>
        <v>0</v>
      </c>
      <c r="NM19" s="838">
        <f>[1]Субсидия_факт!AD17</f>
        <v>0</v>
      </c>
      <c r="NN19" s="466">
        <f t="shared" si="73"/>
        <v>0</v>
      </c>
      <c r="NO19" s="772"/>
      <c r="NP19" s="987"/>
      <c r="NQ19" s="521">
        <f t="shared" si="153"/>
        <v>0</v>
      </c>
      <c r="NR19" s="506">
        <f>[1]Субсидия_факт!LH17</f>
        <v>0</v>
      </c>
      <c r="NS19" s="866">
        <f>[1]Субсидия_факт!LJ17</f>
        <v>0</v>
      </c>
      <c r="NT19" s="525">
        <f>[1]Субсидия_факт!MN17</f>
        <v>0</v>
      </c>
      <c r="NU19" s="689">
        <f>[1]Субсидия_факт!MP17</f>
        <v>0</v>
      </c>
      <c r="NV19" s="1147">
        <f>[1]Субсидия_факт!MB17</f>
        <v>0</v>
      </c>
      <c r="NW19" s="682">
        <f>[1]Субсидия_факт!MH17</f>
        <v>0</v>
      </c>
      <c r="NX19" s="521">
        <f t="shared" si="154"/>
        <v>0</v>
      </c>
      <c r="NY19" s="474"/>
      <c r="NZ19" s="686"/>
      <c r="OA19" s="474"/>
      <c r="OB19" s="686"/>
      <c r="OC19" s="342"/>
      <c r="OD19" s="1279"/>
      <c r="OE19" s="521">
        <f t="shared" si="155"/>
        <v>0</v>
      </c>
      <c r="OF19" s="652">
        <f>[1]Субсидия_факт!KJ17</f>
        <v>0</v>
      </c>
      <c r="OG19" s="682">
        <f>[1]Субсидия_факт!KN17</f>
        <v>0</v>
      </c>
      <c r="OH19" s="652">
        <f>[1]Субсидия_факт!LL17</f>
        <v>0</v>
      </c>
      <c r="OI19" s="682">
        <f>[1]Субсидия_факт!LP17</f>
        <v>0</v>
      </c>
      <c r="OJ19" s="652">
        <f>[1]Субсидия_факт!MD17</f>
        <v>0</v>
      </c>
      <c r="OK19" s="682">
        <f>[1]Субсидия_факт!MJ17</f>
        <v>0</v>
      </c>
      <c r="OL19" s="521">
        <f t="shared" si="156"/>
        <v>0</v>
      </c>
      <c r="OM19" s="487"/>
      <c r="ON19" s="712"/>
      <c r="OO19" s="474"/>
      <c r="OP19" s="686"/>
      <c r="OQ19" s="487"/>
      <c r="OR19" s="712"/>
      <c r="OS19" s="587">
        <f t="shared" si="157"/>
        <v>0</v>
      </c>
      <c r="OT19" s="1066">
        <f t="shared" si="74"/>
        <v>0</v>
      </c>
      <c r="OU19" s="682">
        <f t="shared" si="75"/>
        <v>0</v>
      </c>
      <c r="OV19" s="1066">
        <f t="shared" si="76"/>
        <v>0</v>
      </c>
      <c r="OW19" s="682">
        <f t="shared" si="77"/>
        <v>0</v>
      </c>
      <c r="OX19" s="1147">
        <f t="shared" si="78"/>
        <v>0</v>
      </c>
      <c r="OY19" s="682">
        <f t="shared" si="79"/>
        <v>0</v>
      </c>
      <c r="OZ19" s="587">
        <f t="shared" si="158"/>
        <v>0</v>
      </c>
      <c r="PA19" s="1066">
        <f t="shared" si="80"/>
        <v>0</v>
      </c>
      <c r="PB19" s="682">
        <f t="shared" si="81"/>
        <v>0</v>
      </c>
      <c r="PC19" s="1066">
        <f t="shared" si="82"/>
        <v>0</v>
      </c>
      <c r="PD19" s="682">
        <f t="shared" si="83"/>
        <v>0</v>
      </c>
      <c r="PE19" s="1147">
        <f t="shared" si="84"/>
        <v>0</v>
      </c>
      <c r="PF19" s="682">
        <f t="shared" si="85"/>
        <v>0</v>
      </c>
      <c r="PG19" s="587">
        <f t="shared" si="159"/>
        <v>0</v>
      </c>
      <c r="PH19" s="1079">
        <f>[1]Субсидия_факт!KL17</f>
        <v>0</v>
      </c>
      <c r="PI19" s="682">
        <f>[1]Субсидия_факт!KP17</f>
        <v>0</v>
      </c>
      <c r="PJ19" s="652">
        <f>[1]Субсидия_факт!LN17</f>
        <v>0</v>
      </c>
      <c r="PK19" s="682">
        <f>[1]Субсидия_факт!LR17</f>
        <v>0</v>
      </c>
      <c r="PL19" s="652">
        <f>[1]Субсидия_факт!MF17</f>
        <v>0</v>
      </c>
      <c r="PM19" s="682">
        <f>[1]Субсидия_факт!ML17</f>
        <v>0</v>
      </c>
      <c r="PN19" s="587">
        <f t="shared" si="160"/>
        <v>0</v>
      </c>
      <c r="PO19" s="487"/>
      <c r="PP19" s="712"/>
      <c r="PQ19" s="474"/>
      <c r="PR19" s="686"/>
      <c r="PS19" s="487"/>
      <c r="PT19" s="712"/>
      <c r="PU19" s="466">
        <f t="shared" si="161"/>
        <v>0</v>
      </c>
      <c r="PV19" s="516">
        <f>[1]Субсидия_факт!MR17</f>
        <v>0</v>
      </c>
      <c r="PW19" s="838">
        <f>[1]Субсидия_факт!MX17</f>
        <v>0</v>
      </c>
      <c r="PX19" s="466">
        <f t="shared" si="162"/>
        <v>0</v>
      </c>
      <c r="PY19" s="724"/>
      <c r="PZ19" s="678"/>
      <c r="QA19" s="579">
        <f t="shared" si="163"/>
        <v>0</v>
      </c>
      <c r="QB19" s="516">
        <f>[1]Субсидия_факт!MT17</f>
        <v>0</v>
      </c>
      <c r="QC19" s="838">
        <f>[1]Субсидия_факт!MZ17</f>
        <v>0</v>
      </c>
      <c r="QD19" s="466">
        <f t="shared" si="164"/>
        <v>0</v>
      </c>
      <c r="QE19" s="724"/>
      <c r="QF19" s="987"/>
      <c r="QG19" s="669">
        <f t="shared" si="165"/>
        <v>0</v>
      </c>
      <c r="QH19" s="516">
        <f t="shared" si="166"/>
        <v>0</v>
      </c>
      <c r="QI19" s="838">
        <f t="shared" si="167"/>
        <v>0</v>
      </c>
      <c r="QJ19" s="669">
        <f t="shared" si="168"/>
        <v>0</v>
      </c>
      <c r="QK19" s="516">
        <f t="shared" si="169"/>
        <v>0</v>
      </c>
      <c r="QL19" s="838">
        <f t="shared" si="170"/>
        <v>0</v>
      </c>
      <c r="QM19" s="669">
        <f t="shared" si="171"/>
        <v>0</v>
      </c>
      <c r="QN19" s="516">
        <f>[1]Субсидия_факт!MV17</f>
        <v>0</v>
      </c>
      <c r="QO19" s="838">
        <f>[1]Субсидия_факт!NB17</f>
        <v>0</v>
      </c>
      <c r="QP19" s="669">
        <f t="shared" si="172"/>
        <v>0</v>
      </c>
      <c r="QQ19" s="516">
        <f>[1]Субсидия_факт!NI17</f>
        <v>0</v>
      </c>
      <c r="QR19" s="752">
        <f>[1]Субсидия_факт!NO17</f>
        <v>0</v>
      </c>
      <c r="QS19" s="521">
        <f>'Прочая  субсидия_МР  и  ГО'!B15</f>
        <v>10069857.529999999</v>
      </c>
      <c r="QT19" s="521">
        <f>'Прочая  субсидия_МР  и  ГО'!C15</f>
        <v>7718899.5</v>
      </c>
      <c r="QU19" s="524">
        <f>'Прочая  субсидия_БП'!B15</f>
        <v>8037836.1399999978</v>
      </c>
      <c r="QV19" s="526">
        <f>'Прочая  субсидия_БП'!C15</f>
        <v>536193.49</v>
      </c>
      <c r="QW19" s="583">
        <f>'Прочая  субсидия_БП'!D15</f>
        <v>378325.9</v>
      </c>
      <c r="QX19" s="582">
        <f>'Прочая  субсидия_БП'!E15</f>
        <v>264633.49</v>
      </c>
      <c r="QY19" s="588">
        <f>'Прочая  субсидия_БП'!F15</f>
        <v>7659510.2400000002</v>
      </c>
      <c r="QZ19" s="583">
        <f>'Прочая  субсидия_БП'!G15</f>
        <v>271560</v>
      </c>
      <c r="RA19" s="526">
        <f t="shared" si="173"/>
        <v>307080661.96999997</v>
      </c>
      <c r="RB19" s="525">
        <f>'Проверочная  таблица'!SF19+'Проверочная  таблица'!RG19+'Проверочная  таблица'!RI19+'Проверочная  таблица'!RK19+RX19</f>
        <v>294364797.77999997</v>
      </c>
      <c r="RC19" s="508">
        <f>'Проверочная  таблица'!SG19+'Проверочная  таблица'!RM19+'Проверочная  таблица'!RS19+'Проверочная  таблица'!RO19+'Проверочная  таблица'!RQ19+RU19+RY19+SC19</f>
        <v>12715864.189999999</v>
      </c>
      <c r="RD19" s="521">
        <f t="shared" si="174"/>
        <v>251565118.50999999</v>
      </c>
      <c r="RE19" s="506">
        <f>'Проверочная  таблица'!SI19+'Проверочная  таблица'!RH19+'Проверочная  таблица'!RJ19+'Проверочная  таблица'!RL19+SA19</f>
        <v>245365335.06</v>
      </c>
      <c r="RF19" s="508">
        <f>'Проверочная  таблица'!SJ19+'Проверочная  таблица'!RN19+'Проверочная  таблица'!RT19+'Проверочная  таблица'!RP19+'Проверочная  таблица'!RR19+RV19+SB19+SD19</f>
        <v>6199783.4499999993</v>
      </c>
      <c r="RG19" s="579">
        <f>'Субвенция  на  полномочия'!B15</f>
        <v>277296791.22999996</v>
      </c>
      <c r="RH19" s="466">
        <f>'Субвенция  на  полномочия'!C15</f>
        <v>232551059.5</v>
      </c>
      <c r="RI19" s="733">
        <f>[1]Субвенция_факт!Q16*1000</f>
        <v>10020745</v>
      </c>
      <c r="RJ19" s="736">
        <v>7565000</v>
      </c>
      <c r="RK19" s="733">
        <f>[1]Субвенция_факт!J16*1000</f>
        <v>2644151</v>
      </c>
      <c r="RL19" s="736">
        <v>2644000</v>
      </c>
      <c r="RM19" s="733">
        <f>[1]Субвенция_факт!AE16*1000</f>
        <v>1930500</v>
      </c>
      <c r="RN19" s="736">
        <v>1270961.5099999998</v>
      </c>
      <c r="RO19" s="733">
        <f>[1]Субвенция_факт!AF16*1000</f>
        <v>3200</v>
      </c>
      <c r="RP19" s="736">
        <v>3200</v>
      </c>
      <c r="RQ19" s="733">
        <f>[1]Субвенция_факт!E16*1000</f>
        <v>0</v>
      </c>
      <c r="RR19" s="736"/>
      <c r="RS19" s="733">
        <f>[1]Субвенция_факт!F16*1000</f>
        <v>746227</v>
      </c>
      <c r="RT19" s="827"/>
      <c r="RU19" s="170">
        <f>[1]Субвенция_факт!G16*1000</f>
        <v>0</v>
      </c>
      <c r="RV19" s="1109"/>
      <c r="RW19" s="521">
        <f t="shared" si="88"/>
        <v>11070591.25</v>
      </c>
      <c r="RX19" s="622">
        <f>[1]Субвенция_факт!N16*1000</f>
        <v>3099765.55</v>
      </c>
      <c r="RY19" s="682">
        <f>[1]Субвенция_факт!O16*1000</f>
        <v>7970825.7000000002</v>
      </c>
      <c r="RZ19" s="521">
        <f t="shared" si="89"/>
        <v>5257412.62</v>
      </c>
      <c r="SA19" s="773">
        <v>1472075.56</v>
      </c>
      <c r="SB19" s="1279">
        <v>3785337.06</v>
      </c>
      <c r="SC19" s="170">
        <f>[1]Субвенция_факт!AG16*1000</f>
        <v>515111.49</v>
      </c>
      <c r="SD19" s="1277"/>
      <c r="SE19" s="498">
        <f t="shared" si="175"/>
        <v>2853345</v>
      </c>
      <c r="SF19" s="833">
        <f>[1]Субвенция_факт!AD16*1000</f>
        <v>1303344.9999999998</v>
      </c>
      <c r="SG19" s="1562">
        <f>[1]Субвенция_факт!AC16*1000</f>
        <v>1550000</v>
      </c>
      <c r="SH19" s="521">
        <f t="shared" si="176"/>
        <v>2273484.88</v>
      </c>
      <c r="SI19" s="1557">
        <v>1133200</v>
      </c>
      <c r="SJ19" s="1635">
        <v>1140284.8799999999</v>
      </c>
      <c r="SK19" s="280">
        <f>'Проверочная  таблица'!VC19+'Проверочная  таблица'!UO19+'Проверочная  таблица'!SY19+'Проверочная  таблица'!TC19+UA19+UG19+TK19+TQ19+SM19+SS19</f>
        <v>21702213.34</v>
      </c>
      <c r="SL19" s="170">
        <f>'Проверочная  таблица'!VF19+'Проверочная  таблица'!UV19+'Проверочная  таблица'!TA19+'Проверочная  таблица'!TE19+UD19+UK19+TN19+TT19+SP19+SV19</f>
        <v>19090385.549999997</v>
      </c>
      <c r="SM19" s="524">
        <f t="shared" si="92"/>
        <v>12421080</v>
      </c>
      <c r="SN19" s="833">
        <f>'[1]Иные межбюджетные трансферты'!I17</f>
        <v>0</v>
      </c>
      <c r="SO19" s="880">
        <f>'[1]Иные межбюджетные трансферты'!K17</f>
        <v>12421080</v>
      </c>
      <c r="SP19" s="521">
        <f t="shared" si="93"/>
        <v>9864049.209999999</v>
      </c>
      <c r="SQ19" s="1421"/>
      <c r="SR19" s="1422">
        <v>9864049.209999999</v>
      </c>
      <c r="SS19" s="521">
        <f t="shared" si="177"/>
        <v>0</v>
      </c>
      <c r="ST19" s="1082">
        <f>'[1]Иные межбюджетные трансферты'!Y17</f>
        <v>0</v>
      </c>
      <c r="SU19" s="1630">
        <f>'[1]Иные межбюджетные трансферты'!AE17</f>
        <v>0</v>
      </c>
      <c r="SV19" s="521">
        <f t="shared" si="178"/>
        <v>0</v>
      </c>
      <c r="SW19" s="906"/>
      <c r="SX19" s="1422"/>
      <c r="SY19" s="1254">
        <f t="shared" si="94"/>
        <v>0</v>
      </c>
      <c r="SZ19" s="1009">
        <f>'[1]Иные межбюджетные трансферты'!AG17</f>
        <v>0</v>
      </c>
      <c r="TA19" s="899">
        <f t="shared" si="95"/>
        <v>0</v>
      </c>
      <c r="TB19" s="1422"/>
      <c r="TC19" s="903">
        <f t="shared" si="96"/>
        <v>0</v>
      </c>
      <c r="TD19" s="1009">
        <f>'[1]Иные межбюджетные трансферты'!AI17</f>
        <v>0</v>
      </c>
      <c r="TE19" s="899">
        <f t="shared" si="97"/>
        <v>0</v>
      </c>
      <c r="TF19" s="1082"/>
      <c r="TG19" s="901">
        <f t="shared" si="98"/>
        <v>0</v>
      </c>
      <c r="TH19" s="897">
        <f t="shared" si="99"/>
        <v>0</v>
      </c>
      <c r="TI19" s="1086">
        <f t="shared" si="179"/>
        <v>0</v>
      </c>
      <c r="TJ19" s="897">
        <f t="shared" si="180"/>
        <v>0</v>
      </c>
      <c r="TK19" s="903">
        <f t="shared" si="181"/>
        <v>0</v>
      </c>
      <c r="TL19" s="1079"/>
      <c r="TM19" s="682"/>
      <c r="TN19" s="903">
        <f t="shared" si="182"/>
        <v>0</v>
      </c>
      <c r="TO19" s="773"/>
      <c r="TP19" s="686"/>
      <c r="TQ19" s="903">
        <f t="shared" si="183"/>
        <v>0</v>
      </c>
      <c r="TR19" s="1079">
        <f>'[1]Иные межбюджетные трансферты'!AQ17</f>
        <v>0</v>
      </c>
      <c r="TS19" s="682">
        <f>'[1]Иные межбюджетные трансферты'!AU17</f>
        <v>0</v>
      </c>
      <c r="TT19" s="899">
        <f t="shared" si="184"/>
        <v>0</v>
      </c>
      <c r="TU19" s="753"/>
      <c r="TV19" s="771"/>
      <c r="TW19" s="820">
        <f t="shared" si="185"/>
        <v>0</v>
      </c>
      <c r="TX19" s="820">
        <f t="shared" si="186"/>
        <v>0</v>
      </c>
      <c r="TY19" s="820">
        <f t="shared" si="187"/>
        <v>0</v>
      </c>
      <c r="TZ19" s="1199">
        <f t="shared" si="188"/>
        <v>0</v>
      </c>
      <c r="UA19" s="1134">
        <f t="shared" si="100"/>
        <v>0</v>
      </c>
      <c r="UB19" s="945">
        <f>'[1]Иные межбюджетные трансферты'!U17</f>
        <v>0</v>
      </c>
      <c r="UC19" s="1133">
        <f>'[1]Иные межбюджетные трансферты'!W17</f>
        <v>0</v>
      </c>
      <c r="UD19" s="734">
        <f t="shared" si="101"/>
        <v>0</v>
      </c>
      <c r="UE19" s="945"/>
      <c r="UF19" s="1133"/>
      <c r="UG19" s="734">
        <f t="shared" si="189"/>
        <v>0</v>
      </c>
      <c r="UH19" s="945">
        <f>'[1]Иные межбюджетные трансферты'!O17</f>
        <v>0</v>
      </c>
      <c r="UI19" s="1133">
        <f>'[1]Иные межбюджетные трансферты'!Q17</f>
        <v>0</v>
      </c>
      <c r="UJ19" s="1133">
        <f>'[1]Иные межбюджетные трансферты'!S17</f>
        <v>0</v>
      </c>
      <c r="UK19" s="734">
        <f t="shared" si="190"/>
        <v>0</v>
      </c>
      <c r="UL19" s="1513"/>
      <c r="UM19" s="1426"/>
      <c r="UN19" s="1624"/>
      <c r="UO19" s="1585">
        <f t="shared" si="191"/>
        <v>4446438.92</v>
      </c>
      <c r="UP19" s="833">
        <f>'[1]Иные межбюджетные трансферты'!E17</f>
        <v>0</v>
      </c>
      <c r="UQ19" s="880">
        <f>'[1]Иные межбюджетные трансферты'!G17</f>
        <v>0</v>
      </c>
      <c r="UR19" s="830">
        <f>'[1]Иные межбюджетные трансферты'!M17</f>
        <v>3347000</v>
      </c>
      <c r="US19" s="1044"/>
      <c r="UT19" s="1498">
        <f>'[1]Иные межбюджетные трансферты'!AY17</f>
        <v>0</v>
      </c>
      <c r="UU19" s="1539">
        <f>'[1]Иные межбюджетные трансферты'!BA17</f>
        <v>1099438.9200000002</v>
      </c>
      <c r="UV19" s="834">
        <f t="shared" si="192"/>
        <v>4391641.92</v>
      </c>
      <c r="UW19" s="908"/>
      <c r="UX19" s="906"/>
      <c r="UY19" s="1425">
        <v>3292203</v>
      </c>
      <c r="UZ19" s="516"/>
      <c r="VA19" s="518">
        <f t="shared" si="102"/>
        <v>0</v>
      </c>
      <c r="VB19" s="516">
        <f t="shared" si="193"/>
        <v>1099438.9200000002</v>
      </c>
      <c r="VC19" s="899">
        <f t="shared" si="194"/>
        <v>4834694.42</v>
      </c>
      <c r="VD19" s="830">
        <f>'[1]Иные межбюджетные трансферты'!AM17</f>
        <v>0</v>
      </c>
      <c r="VE19" s="1587">
        <f>'[1]Иные межбюджетные трансферты'!BC17</f>
        <v>4834694.42</v>
      </c>
      <c r="VF19" s="1495">
        <f t="shared" si="195"/>
        <v>4834694.42</v>
      </c>
      <c r="VG19" s="753"/>
      <c r="VH19" s="1251">
        <f t="shared" si="196"/>
        <v>4834694.42</v>
      </c>
      <c r="VI19" s="1199">
        <f t="shared" si="197"/>
        <v>3611868.3499999996</v>
      </c>
      <c r="VJ19" s="516">
        <f>'Проверочная  таблица'!VD19-VP19</f>
        <v>0</v>
      </c>
      <c r="VK19" s="516">
        <f>'Проверочная  таблица'!VE19-VQ19</f>
        <v>3611868.3499999996</v>
      </c>
      <c r="VL19" s="1199">
        <f t="shared" si="198"/>
        <v>3611868.3499999996</v>
      </c>
      <c r="VM19" s="516">
        <f>'Проверочная  таблица'!VG19-VS19</f>
        <v>0</v>
      </c>
      <c r="VN19" s="516">
        <f>'Проверочная  таблица'!VH19-VT19</f>
        <v>3611868.3499999996</v>
      </c>
      <c r="VO19" s="1199">
        <f t="shared" si="199"/>
        <v>1222826.07</v>
      </c>
      <c r="VP19" s="833">
        <f>'[1]Иные межбюджетные трансферты'!AO17</f>
        <v>0</v>
      </c>
      <c r="VQ19" s="830">
        <f>'[1]Иные межбюджетные трансферты'!BE17</f>
        <v>1222826.07</v>
      </c>
      <c r="VR19" s="1501">
        <f t="shared" si="200"/>
        <v>1222826.07</v>
      </c>
      <c r="VS19" s="1492"/>
      <c r="VT19" s="518">
        <f t="shared" si="201"/>
        <v>1222826.07</v>
      </c>
      <c r="VU19" s="521">
        <f>VW19+'Проверочная  таблица'!WE19+WA19+'Проверочная  таблица'!WI19+WC19+'Проверочная  таблица'!WK19</f>
        <v>0</v>
      </c>
      <c r="VV19" s="521">
        <f>VX19+'Проверочная  таблица'!WF19+WB19+'Проверочная  таблица'!WJ19+WD19+'Проверочная  таблица'!WL19</f>
        <v>0</v>
      </c>
      <c r="VW19" s="533"/>
      <c r="VX19" s="533"/>
      <c r="VY19" s="533"/>
      <c r="VZ19" s="533"/>
      <c r="WA19" s="530">
        <f t="shared" si="103"/>
        <v>0</v>
      </c>
      <c r="WB19" s="528">
        <f t="shared" si="104"/>
        <v>0</v>
      </c>
      <c r="WC19" s="534"/>
      <c r="WD19" s="523"/>
      <c r="WE19" s="533"/>
      <c r="WF19" s="533"/>
      <c r="WG19" s="533"/>
      <c r="WH19" s="533"/>
      <c r="WI19" s="530">
        <f t="shared" si="105"/>
        <v>0</v>
      </c>
      <c r="WJ19" s="528">
        <f t="shared" si="106"/>
        <v>0</v>
      </c>
      <c r="WK19" s="523"/>
      <c r="WL19" s="523"/>
      <c r="WM19" s="252">
        <f>'Проверочная  таблица'!WE19+'Проверочная  таблица'!WG19</f>
        <v>0</v>
      </c>
      <c r="WN19" s="252">
        <f>'Проверочная  таблица'!WF19+'Проверочная  таблица'!WH19</f>
        <v>0</v>
      </c>
      <c r="WO19" s="1042"/>
    </row>
    <row r="20" spans="1:613" s="338" customFormat="1" ht="25.5" customHeight="1" x14ac:dyDescent="0.25">
      <c r="A20" s="348" t="s">
        <v>87</v>
      </c>
      <c r="B20" s="526">
        <f>D20+AI20+'Проверочная  таблица'!RA20+'Проверочная  таблица'!SK20</f>
        <v>492860716.28000003</v>
      </c>
      <c r="C20" s="521">
        <f>E20+'Проверочная  таблица'!RD20+AJ20+'Проверочная  таблица'!SL20</f>
        <v>364267851.13999999</v>
      </c>
      <c r="D20" s="524">
        <f t="shared" si="0"/>
        <v>155745794</v>
      </c>
      <c r="E20" s="526">
        <f t="shared" si="1"/>
        <v>115178312.50999999</v>
      </c>
      <c r="F20" s="581">
        <f>'[1]Дотация  из  ОБ_факт'!M16</f>
        <v>96942400</v>
      </c>
      <c r="G20" s="963">
        <v>72706799.969999999</v>
      </c>
      <c r="H20" s="581">
        <f>'[1]Дотация  из  ОБ_факт'!G16</f>
        <v>18378000</v>
      </c>
      <c r="I20" s="963">
        <v>13763266.32</v>
      </c>
      <c r="J20" s="582">
        <f t="shared" si="2"/>
        <v>18378000</v>
      </c>
      <c r="K20" s="588">
        <f t="shared" si="3"/>
        <v>13763266.32</v>
      </c>
      <c r="L20" s="835">
        <f>'[1]Дотация  из  ОБ_факт'!K16</f>
        <v>0</v>
      </c>
      <c r="M20" s="1446"/>
      <c r="N20" s="581">
        <f>'[1]Дотация  из  ОБ_факт'!Q16</f>
        <v>1303780</v>
      </c>
      <c r="O20" s="963">
        <v>0</v>
      </c>
      <c r="P20" s="581">
        <f>'[1]Дотация  из  ОБ_факт'!S16</f>
        <v>37709797</v>
      </c>
      <c r="Q20" s="1442">
        <v>27496246.219999999</v>
      </c>
      <c r="R20" s="588">
        <f t="shared" si="4"/>
        <v>37709797</v>
      </c>
      <c r="S20" s="583">
        <f t="shared" si="5"/>
        <v>27496246.219999999</v>
      </c>
      <c r="T20" s="835">
        <f>'[1]Дотация  из  ОБ_факт'!W16</f>
        <v>0</v>
      </c>
      <c r="U20" s="1448"/>
      <c r="V20" s="581">
        <f>'[1]Дотация  из  ОБ_факт'!AA16+'[1]Дотация  из  ОБ_факт'!AC16+'[1]Дотация  из  ОБ_факт'!AG16</f>
        <v>799817</v>
      </c>
      <c r="W20" s="461">
        <f t="shared" si="6"/>
        <v>600000</v>
      </c>
      <c r="X20" s="585"/>
      <c r="Y20" s="584">
        <v>600000</v>
      </c>
      <c r="Z20" s="585"/>
      <c r="AA20" s="581">
        <f>'[1]Дотация  из  ОБ_факт'!Y16+'[1]Дотация  из  ОБ_факт'!AE16</f>
        <v>612000</v>
      </c>
      <c r="AB20" s="172">
        <f t="shared" si="7"/>
        <v>612000</v>
      </c>
      <c r="AC20" s="584">
        <v>612000</v>
      </c>
      <c r="AD20" s="585"/>
      <c r="AE20" s="582">
        <f t="shared" si="8"/>
        <v>612000</v>
      </c>
      <c r="AF20" s="588">
        <f t="shared" si="9"/>
        <v>612000</v>
      </c>
      <c r="AG20" s="1187">
        <f>'[1]Дотация  из  ОБ_факт'!AE16</f>
        <v>0</v>
      </c>
      <c r="AH20" s="1480">
        <f t="shared" si="107"/>
        <v>0</v>
      </c>
      <c r="AI20" s="579">
        <f>'Проверочная  таблица'!KW20+'Проверочная  таблица'!QS20+'Проверочная  таблица'!QU20+CS20+CU20+DA20+DC20+BU20+CE20+'Проверочная  таблица'!IQ20+'Проверочная  таблица'!JK20+'Проверочная  таблица'!EE20+'Проверочная  таблица'!KO20+DQ20+'Проверочная  таблица'!HQ20+'Проверочная  таблица'!HW20+'Проверочная  таблица'!LA20+'Проверочная  таблица'!LI20+HK20+FQ20+FE20+NK20+EY20+AK20+AW20+FK20+GM20+GS20+DI20+NQ20+FW20+EK20+OE20+MG20+GG20+PU20+QA20</f>
        <v>88919461.629999995</v>
      </c>
      <c r="AJ20" s="498">
        <f>'Проверочная  таблица'!KY20+'Проверочная  таблица'!QT20+'Проверочная  таблица'!QV20+CT20+CV20+DB20+DD20+BZ20+CJ20+'Проверочная  таблица'!JA20+'Проверочная  таблица'!JP20+'Проверочная  таблица'!EH20+'Проверочная  таблица'!KS20+DX20+'Проверочная  таблица'!HT20+'Проверочная  таблица'!HZ20+'Проверочная  таблица'!LE20+'Проверочная  таблица'!LM20+HN20+FN20+FT20+FH20+NN20+FB20+AQ20+BA20+GP20+GV20+DM20+NX20+FZ20+ER20+OL20+ML20+GJ20+PX20+QD20</f>
        <v>64289334.039999999</v>
      </c>
      <c r="AK20" s="466">
        <f t="shared" si="108"/>
        <v>0</v>
      </c>
      <c r="AL20" s="525">
        <f>[1]Субсидия_факт!CD18</f>
        <v>0</v>
      </c>
      <c r="AM20" s="508">
        <f>[1]Субсидия_факт!EX18</f>
        <v>0</v>
      </c>
      <c r="AN20" s="506">
        <f>[1]Субсидия_факт!FJ18</f>
        <v>0</v>
      </c>
      <c r="AO20" s="525">
        <f>[1]Субсидия_факт!LT18</f>
        <v>0</v>
      </c>
      <c r="AP20" s="622">
        <f>[1]Субсидия_факт!LZ18</f>
        <v>0</v>
      </c>
      <c r="AQ20" s="748">
        <f t="shared" si="109"/>
        <v>0</v>
      </c>
      <c r="AR20" s="474"/>
      <c r="AS20" s="474"/>
      <c r="AT20" s="474"/>
      <c r="AU20" s="474"/>
      <c r="AV20" s="531"/>
      <c r="AW20" s="498">
        <f t="shared" si="10"/>
        <v>0</v>
      </c>
      <c r="AX20" s="525">
        <f>[1]Субсидия_факт!CF18</f>
        <v>0</v>
      </c>
      <c r="AY20" s="508">
        <f>[1]Субсидия_факт!FB18</f>
        <v>0</v>
      </c>
      <c r="AZ20" s="646">
        <f>[1]Субсидия_факт!LV18</f>
        <v>0</v>
      </c>
      <c r="BA20" s="466">
        <f t="shared" si="11"/>
        <v>0</v>
      </c>
      <c r="BB20" s="531"/>
      <c r="BC20" s="531"/>
      <c r="BD20" s="532"/>
      <c r="BE20" s="669">
        <f t="shared" si="12"/>
        <v>0</v>
      </c>
      <c r="BF20" s="652">
        <f t="shared" si="13"/>
        <v>0</v>
      </c>
      <c r="BG20" s="464">
        <f t="shared" si="14"/>
        <v>0</v>
      </c>
      <c r="BH20" s="341">
        <f t="shared" si="15"/>
        <v>0</v>
      </c>
      <c r="BI20" s="669">
        <f t="shared" si="16"/>
        <v>0</v>
      </c>
      <c r="BJ20" s="622">
        <f t="shared" si="17"/>
        <v>0</v>
      </c>
      <c r="BK20" s="506">
        <f t="shared" si="18"/>
        <v>0</v>
      </c>
      <c r="BL20" s="341">
        <f t="shared" si="19"/>
        <v>0</v>
      </c>
      <c r="BM20" s="667">
        <f t="shared" si="20"/>
        <v>0</v>
      </c>
      <c r="BN20" s="525">
        <f>[1]Субсидия_факт!CH18</f>
        <v>0</v>
      </c>
      <c r="BO20" s="508">
        <f>[1]Субсидия_факт!FD18</f>
        <v>0</v>
      </c>
      <c r="BP20" s="646">
        <f>[1]Субсидия_факт!LX18</f>
        <v>0</v>
      </c>
      <c r="BQ20" s="669">
        <f t="shared" si="21"/>
        <v>0</v>
      </c>
      <c r="BR20" s="532"/>
      <c r="BS20" s="531"/>
      <c r="BT20" s="532"/>
      <c r="BU20" s="521">
        <f t="shared" si="110"/>
        <v>19096795.399999999</v>
      </c>
      <c r="BV20" s="562">
        <f>[1]Субсидия_факт!HB18</f>
        <v>0</v>
      </c>
      <c r="BW20" s="516">
        <f>[1]Субсидия_факт!HH18</f>
        <v>19096795.399999999</v>
      </c>
      <c r="BX20" s="531">
        <f>[1]Субсидия_факт!HP18</f>
        <v>0</v>
      </c>
      <c r="BY20" s="562">
        <f>[1]Субсидия_факт!HV18</f>
        <v>0</v>
      </c>
      <c r="BZ20" s="521">
        <f t="shared" si="111"/>
        <v>0</v>
      </c>
      <c r="CA20" s="531"/>
      <c r="CB20" s="531">
        <v>0</v>
      </c>
      <c r="CC20" s="625"/>
      <c r="CD20" s="625"/>
      <c r="CE20" s="526">
        <f t="shared" si="112"/>
        <v>0</v>
      </c>
      <c r="CF20" s="525">
        <f>[1]Субсидия_факт!HD18</f>
        <v>0</v>
      </c>
      <c r="CG20" s="525">
        <f>[1]Субсидия_факт!HJ18</f>
        <v>0</v>
      </c>
      <c r="CH20" s="531">
        <f>[1]Субсидия_факт!HR18</f>
        <v>0</v>
      </c>
      <c r="CI20" s="646">
        <f>[1]Субсидия_факт!HX18</f>
        <v>0</v>
      </c>
      <c r="CJ20" s="521">
        <f t="shared" si="113"/>
        <v>0</v>
      </c>
      <c r="CK20" s="531"/>
      <c r="CL20" s="532"/>
      <c r="CM20" s="625"/>
      <c r="CN20" s="724"/>
      <c r="CO20" s="530">
        <f t="shared" si="22"/>
        <v>0</v>
      </c>
      <c r="CP20" s="528">
        <f t="shared" si="23"/>
        <v>0</v>
      </c>
      <c r="CQ20" s="527">
        <f t="shared" si="114"/>
        <v>0</v>
      </c>
      <c r="CR20" s="530">
        <f t="shared" si="115"/>
        <v>0</v>
      </c>
      <c r="CS20" s="521">
        <f>[1]Субсидия_факт!FL18</f>
        <v>0</v>
      </c>
      <c r="CT20" s="620"/>
      <c r="CU20" s="521">
        <f>[1]Субсидия_факт!FN18</f>
        <v>0</v>
      </c>
      <c r="CV20" s="620"/>
      <c r="CW20" s="528">
        <f t="shared" si="24"/>
        <v>0</v>
      </c>
      <c r="CX20" s="527">
        <f t="shared" si="25"/>
        <v>0</v>
      </c>
      <c r="CY20" s="587">
        <f>[1]Субсидия_факт!FP18</f>
        <v>0</v>
      </c>
      <c r="CZ20" s="1480">
        <f t="shared" si="205"/>
        <v>0</v>
      </c>
      <c r="DA20" s="526">
        <f>[1]Субсидия_факт!FR18</f>
        <v>0</v>
      </c>
      <c r="DB20" s="339"/>
      <c r="DC20" s="524">
        <f>[1]Субсидия_факт!FT18</f>
        <v>0</v>
      </c>
      <c r="DD20" s="339"/>
      <c r="DE20" s="1238">
        <f t="shared" si="26"/>
        <v>0</v>
      </c>
      <c r="DF20" s="528">
        <f t="shared" si="27"/>
        <v>0</v>
      </c>
      <c r="DG20" s="663">
        <f>[1]Субсидия_факт!FV18</f>
        <v>0</v>
      </c>
      <c r="DH20" s="1478">
        <f t="shared" si="116"/>
        <v>0</v>
      </c>
      <c r="DI20" s="498">
        <f t="shared" si="117"/>
        <v>0</v>
      </c>
      <c r="DJ20" s="625">
        <f>[1]Субсидия_факт!EV18</f>
        <v>0</v>
      </c>
      <c r="DK20" s="516">
        <f>[1]Субсидия_факт!EL18</f>
        <v>0</v>
      </c>
      <c r="DL20" s="838">
        <f>[1]Субсидия_факт!EN18</f>
        <v>0</v>
      </c>
      <c r="DM20" s="466">
        <f t="shared" si="118"/>
        <v>0</v>
      </c>
      <c r="DN20" s="625"/>
      <c r="DO20" s="625"/>
      <c r="DP20" s="987"/>
      <c r="DQ20" s="526">
        <f t="shared" si="28"/>
        <v>0</v>
      </c>
      <c r="DR20" s="508">
        <f>[1]Субсидия_факт!N18</f>
        <v>0</v>
      </c>
      <c r="DS20" s="652">
        <f>[1]Субсидия_факт!P18</f>
        <v>0</v>
      </c>
      <c r="DT20" s="682">
        <f>[1]Субсидия_факт!R18</f>
        <v>0</v>
      </c>
      <c r="DU20" s="506">
        <f>[1]Субсидия_факт!T18</f>
        <v>0</v>
      </c>
      <c r="DV20" s="689">
        <f>[1]Субсидия_факт!V18</f>
        <v>0</v>
      </c>
      <c r="DW20" s="506">
        <f>[1]Субсидия_факт!X18</f>
        <v>0</v>
      </c>
      <c r="DX20" s="521">
        <f t="shared" si="29"/>
        <v>0</v>
      </c>
      <c r="DY20" s="532"/>
      <c r="DZ20" s="531"/>
      <c r="EA20" s="686"/>
      <c r="EB20" s="531"/>
      <c r="EC20" s="686"/>
      <c r="ED20" s="531"/>
      <c r="EE20" s="498">
        <f t="shared" si="30"/>
        <v>0</v>
      </c>
      <c r="EF20" s="516">
        <f>[1]Субсидия_факт!BL18</f>
        <v>0</v>
      </c>
      <c r="EG20" s="838">
        <f>[1]Субсидия_факт!BN18</f>
        <v>0</v>
      </c>
      <c r="EH20" s="466">
        <f t="shared" si="31"/>
        <v>0</v>
      </c>
      <c r="EI20" s="772"/>
      <c r="EJ20" s="987"/>
      <c r="EK20" s="526">
        <f t="shared" si="32"/>
        <v>0</v>
      </c>
      <c r="EL20" s="525">
        <f>[1]Субсидия_факт!AF18</f>
        <v>0</v>
      </c>
      <c r="EM20" s="689">
        <f>[1]Субсидия_факт!AH18</f>
        <v>0</v>
      </c>
      <c r="EN20" s="506">
        <f>[1]Субсидия_факт!AJ18</f>
        <v>0</v>
      </c>
      <c r="EO20" s="866">
        <f>[1]Субсидия_факт!AL18</f>
        <v>0</v>
      </c>
      <c r="EP20" s="622">
        <f>[1]Субсидия_факт!AN18</f>
        <v>0</v>
      </c>
      <c r="EQ20" s="712">
        <f>[1]Субсидия_факт!AP18</f>
        <v>0</v>
      </c>
      <c r="ER20" s="521">
        <f t="shared" si="33"/>
        <v>0</v>
      </c>
      <c r="ES20" s="474"/>
      <c r="ET20" s="686"/>
      <c r="EU20" s="474"/>
      <c r="EV20" s="686"/>
      <c r="EW20" s="474"/>
      <c r="EX20" s="686"/>
      <c r="EY20" s="498">
        <f t="shared" si="34"/>
        <v>0</v>
      </c>
      <c r="EZ20" s="516">
        <f>[1]Субсидия_факт!AV18</f>
        <v>0</v>
      </c>
      <c r="FA20" s="752">
        <f>[1]Субсидия_факт!AX18</f>
        <v>0</v>
      </c>
      <c r="FB20" s="466">
        <f t="shared" si="35"/>
        <v>0</v>
      </c>
      <c r="FC20" s="772"/>
      <c r="FD20" s="678"/>
      <c r="FE20" s="498">
        <f t="shared" si="36"/>
        <v>46995475.979999997</v>
      </c>
      <c r="FF20" s="516">
        <f>[1]Субсидия_факт!BT18</f>
        <v>2349775.98</v>
      </c>
      <c r="FG20" s="838">
        <f>[1]Субсидия_факт!BV18</f>
        <v>44645700</v>
      </c>
      <c r="FH20" s="466">
        <f t="shared" si="37"/>
        <v>46995475.979999997</v>
      </c>
      <c r="FI20" s="772">
        <v>2349775.98</v>
      </c>
      <c r="FJ20" s="678">
        <v>44645700</v>
      </c>
      <c r="FK20" s="498">
        <f t="shared" si="38"/>
        <v>0</v>
      </c>
      <c r="FL20" s="516">
        <f>[1]Субсидия_факт!BP18</f>
        <v>0</v>
      </c>
      <c r="FM20" s="838">
        <f>[1]Субсидия_факт!BR18</f>
        <v>0</v>
      </c>
      <c r="FN20" s="466">
        <f t="shared" si="39"/>
        <v>0</v>
      </c>
      <c r="FO20" s="772"/>
      <c r="FP20" s="678"/>
      <c r="FQ20" s="498">
        <f t="shared" si="40"/>
        <v>0</v>
      </c>
      <c r="FR20" s="516">
        <f>[1]Субсидия_факт!IV18</f>
        <v>0</v>
      </c>
      <c r="FS20" s="838">
        <f>[1]Субсидия_факт!IX18</f>
        <v>0</v>
      </c>
      <c r="FT20" s="466">
        <f t="shared" si="41"/>
        <v>0</v>
      </c>
      <c r="FU20" s="772"/>
      <c r="FV20" s="678"/>
      <c r="FW20" s="498">
        <f t="shared" si="42"/>
        <v>0</v>
      </c>
      <c r="FX20" s="516">
        <f>[1]Субсидия_факт!IZ18</f>
        <v>0</v>
      </c>
      <c r="FY20" s="838">
        <f>[1]Субсидия_факт!JD18</f>
        <v>0</v>
      </c>
      <c r="FZ20" s="466">
        <f t="shared" si="43"/>
        <v>0</v>
      </c>
      <c r="GA20" s="772"/>
      <c r="GB20" s="678"/>
      <c r="GC20" s="667">
        <f t="shared" si="119"/>
        <v>0</v>
      </c>
      <c r="GD20" s="669">
        <f t="shared" si="120"/>
        <v>0</v>
      </c>
      <c r="GE20" s="667">
        <f t="shared" si="121"/>
        <v>0</v>
      </c>
      <c r="GF20" s="669">
        <f t="shared" si="122"/>
        <v>0</v>
      </c>
      <c r="GG20" s="498">
        <f t="shared" si="123"/>
        <v>0</v>
      </c>
      <c r="GH20" s="1251">
        <f>[1]Субсидия_факт!BH18</f>
        <v>0</v>
      </c>
      <c r="GI20" s="676">
        <f>[1]Субсидия_факт!BJ18</f>
        <v>0</v>
      </c>
      <c r="GJ20" s="498">
        <f t="shared" si="124"/>
        <v>0</v>
      </c>
      <c r="GK20" s="724"/>
      <c r="GL20" s="678"/>
      <c r="GM20" s="498">
        <f t="shared" si="44"/>
        <v>0</v>
      </c>
      <c r="GN20" s="516"/>
      <c r="GO20" s="838"/>
      <c r="GP20" s="466">
        <f t="shared" si="45"/>
        <v>0</v>
      </c>
      <c r="GQ20" s="724"/>
      <c r="GR20" s="678"/>
      <c r="GS20" s="498">
        <f t="shared" si="46"/>
        <v>266929</v>
      </c>
      <c r="GT20" s="516">
        <f>[1]Субсидия_факт!FZ18</f>
        <v>133382.25</v>
      </c>
      <c r="GU20" s="838">
        <f>[1]Субсидия_факт!GD18</f>
        <v>133546.75</v>
      </c>
      <c r="GV20" s="466">
        <f t="shared" si="47"/>
        <v>266929</v>
      </c>
      <c r="GW20" s="724">
        <v>133382.25</v>
      </c>
      <c r="GX20" s="678">
        <v>133546.75</v>
      </c>
      <c r="GY20" s="667">
        <f t="shared" si="48"/>
        <v>266929</v>
      </c>
      <c r="GZ20" s="516">
        <f t="shared" si="125"/>
        <v>133382.25</v>
      </c>
      <c r="HA20" s="838">
        <f t="shared" si="125"/>
        <v>133546.75</v>
      </c>
      <c r="HB20" s="669">
        <f t="shared" si="49"/>
        <v>266929</v>
      </c>
      <c r="HC20" s="516">
        <f t="shared" si="125"/>
        <v>133382.25</v>
      </c>
      <c r="HD20" s="838">
        <f t="shared" si="125"/>
        <v>133546.75</v>
      </c>
      <c r="HE20" s="667">
        <f t="shared" si="50"/>
        <v>0</v>
      </c>
      <c r="HF20" s="516">
        <f>[1]Субсидия_факт!GB18</f>
        <v>0</v>
      </c>
      <c r="HG20" s="838">
        <f>[1]Субсидия_факт!GF18</f>
        <v>0</v>
      </c>
      <c r="HH20" s="669">
        <f t="shared" si="51"/>
        <v>0</v>
      </c>
      <c r="HI20" s="724"/>
      <c r="HJ20" s="678"/>
      <c r="HK20" s="526">
        <f t="shared" si="126"/>
        <v>0</v>
      </c>
      <c r="HL20" s="518">
        <f>[1]Субсидия_факт!DD18</f>
        <v>0</v>
      </c>
      <c r="HM20" s="752">
        <f>[1]Субсидия_факт!DF18</f>
        <v>0</v>
      </c>
      <c r="HN20" s="521">
        <f t="shared" si="127"/>
        <v>0</v>
      </c>
      <c r="HO20" s="531"/>
      <c r="HP20" s="706"/>
      <c r="HQ20" s="579">
        <f t="shared" si="54"/>
        <v>0</v>
      </c>
      <c r="HR20" s="516">
        <f>[1]Субсидия_факт!CR18</f>
        <v>0</v>
      </c>
      <c r="HS20" s="838">
        <f>[1]Субсидия_факт!CX18</f>
        <v>0</v>
      </c>
      <c r="HT20" s="466">
        <f t="shared" si="55"/>
        <v>0</v>
      </c>
      <c r="HU20" s="724"/>
      <c r="HV20" s="678"/>
      <c r="HW20" s="466">
        <f t="shared" si="56"/>
        <v>401941.24</v>
      </c>
      <c r="HX20" s="516">
        <f>[1]Субсидия_факт!CT18</f>
        <v>112543.54999999999</v>
      </c>
      <c r="HY20" s="752">
        <f>[1]Субсидия_факт!CZ18</f>
        <v>289397.69</v>
      </c>
      <c r="HZ20" s="466">
        <f t="shared" si="57"/>
        <v>401941.24</v>
      </c>
      <c r="IA20" s="757">
        <f t="shared" si="128"/>
        <v>112543.55</v>
      </c>
      <c r="IB20" s="789">
        <f t="shared" si="129"/>
        <v>289397.69</v>
      </c>
      <c r="IC20" s="625">
        <v>112543.55</v>
      </c>
      <c r="ID20" s="709">
        <v>289397.69</v>
      </c>
      <c r="IE20" s="669">
        <f t="shared" si="58"/>
        <v>401941.24</v>
      </c>
      <c r="IF20" s="750">
        <f>'Проверочная  таблица'!HX20-'Проверочная  таблица'!IL20</f>
        <v>112543.54999999999</v>
      </c>
      <c r="IG20" s="676">
        <f>'Проверочная  таблица'!HY20-'Проверочная  таблица'!IM20</f>
        <v>289397.69</v>
      </c>
      <c r="IH20" s="663">
        <f t="shared" si="59"/>
        <v>401941.24</v>
      </c>
      <c r="II20" s="757">
        <f>'Проверочная  таблица'!IA20-'Проверочная  таблица'!IO20</f>
        <v>112543.55</v>
      </c>
      <c r="IJ20" s="768">
        <f>'Проверочная  таблица'!IB20-'Проверочная  таблица'!IP20</f>
        <v>289397.69</v>
      </c>
      <c r="IK20" s="669">
        <f t="shared" si="60"/>
        <v>0</v>
      </c>
      <c r="IL20" s="516">
        <f>[1]Субсидия_факт!CV18</f>
        <v>0</v>
      </c>
      <c r="IM20" s="838">
        <f>[1]Субсидия_факт!DB18</f>
        <v>0</v>
      </c>
      <c r="IN20" s="669">
        <f t="shared" si="61"/>
        <v>0</v>
      </c>
      <c r="IO20" s="724"/>
      <c r="IP20" s="678"/>
      <c r="IQ20" s="466">
        <f t="shared" si="130"/>
        <v>3000000</v>
      </c>
      <c r="IR20" s="757">
        <f>[1]Субсидия_факт!CJ18</f>
        <v>0</v>
      </c>
      <c r="IS20" s="676">
        <f>[1]Субсидия_факт!CN18</f>
        <v>0</v>
      </c>
      <c r="IT20" s="757">
        <f>[1]Субсидия_факт!DH18</f>
        <v>0</v>
      </c>
      <c r="IU20" s="676">
        <f>[1]Субсидия_факт!DN18</f>
        <v>0</v>
      </c>
      <c r="IV20" s="525">
        <f>[1]Субсидия_факт!DX18</f>
        <v>0</v>
      </c>
      <c r="IW20" s="689">
        <f>[1]Субсидия_факт!DZ18</f>
        <v>0</v>
      </c>
      <c r="IX20" s="1295">
        <f>[1]Субсидия_факт!DT18</f>
        <v>0</v>
      </c>
      <c r="IY20" s="676">
        <f>[1]Субсидия_факт!DV18</f>
        <v>0</v>
      </c>
      <c r="IZ20" s="516">
        <f>[1]Субсидия_факт!EB18</f>
        <v>3000000</v>
      </c>
      <c r="JA20" s="466">
        <f t="shared" si="131"/>
        <v>3000000</v>
      </c>
      <c r="JB20" s="625"/>
      <c r="JC20" s="678"/>
      <c r="JD20" s="625"/>
      <c r="JE20" s="678"/>
      <c r="JF20" s="531"/>
      <c r="JG20" s="706"/>
      <c r="JH20" s="625"/>
      <c r="JI20" s="678"/>
      <c r="JJ20" s="757">
        <f t="shared" si="132"/>
        <v>3000000</v>
      </c>
      <c r="JK20" s="748">
        <f t="shared" si="133"/>
        <v>0</v>
      </c>
      <c r="JL20" s="757">
        <f>[1]Субсидия_факт!CL18</f>
        <v>0</v>
      </c>
      <c r="JM20" s="676">
        <f>[1]Субсидия_факт!CP18</f>
        <v>0</v>
      </c>
      <c r="JN20" s="757">
        <f>[1]Субсидия_факт!DJ18</f>
        <v>0</v>
      </c>
      <c r="JO20" s="676">
        <f>[1]Субсидия_факт!DP18</f>
        <v>0</v>
      </c>
      <c r="JP20" s="748">
        <f t="shared" si="134"/>
        <v>0</v>
      </c>
      <c r="JQ20" s="625"/>
      <c r="JR20" s="678"/>
      <c r="JS20" s="625"/>
      <c r="JT20" s="678"/>
      <c r="JU20" s="587">
        <f t="shared" si="135"/>
        <v>0</v>
      </c>
      <c r="JV20" s="757">
        <f>'Проверочная  таблица'!JL20-KF20</f>
        <v>0</v>
      </c>
      <c r="JW20" s="676">
        <f>'Проверочная  таблица'!JM20-KG20</f>
        <v>0</v>
      </c>
      <c r="JX20" s="757">
        <f>'Проверочная  таблица'!JN20-KH20</f>
        <v>0</v>
      </c>
      <c r="JY20" s="676">
        <f>'Проверочная  таблица'!JO20-KI20</f>
        <v>0</v>
      </c>
      <c r="JZ20" s="587">
        <f t="shared" si="136"/>
        <v>0</v>
      </c>
      <c r="KA20" s="757">
        <f>'Проверочная  таблица'!JQ20-KK20</f>
        <v>0</v>
      </c>
      <c r="KB20" s="676">
        <f>'Проверочная  таблица'!JR20-KL20</f>
        <v>0</v>
      </c>
      <c r="KC20" s="757">
        <f>'Проверочная  таблица'!JS20-KM20</f>
        <v>0</v>
      </c>
      <c r="KD20" s="789">
        <f>'Проверочная  таблица'!JT20-KN20</f>
        <v>0</v>
      </c>
      <c r="KE20" s="587">
        <f t="shared" si="137"/>
        <v>0</v>
      </c>
      <c r="KF20" s="625"/>
      <c r="KG20" s="678"/>
      <c r="KH20" s="757">
        <f>[1]Субсидия_факт!DL18</f>
        <v>0</v>
      </c>
      <c r="KI20" s="1519">
        <f>[1]Субсидия_факт!DR18</f>
        <v>0</v>
      </c>
      <c r="KJ20" s="587">
        <f t="shared" si="138"/>
        <v>0</v>
      </c>
      <c r="KK20" s="753"/>
      <c r="KL20" s="678"/>
      <c r="KM20" s="625"/>
      <c r="KN20" s="678"/>
      <c r="KO20" s="579">
        <f t="shared" si="139"/>
        <v>0</v>
      </c>
      <c r="KP20" s="516">
        <f>[1]Субсидия_факт!BX18</f>
        <v>0</v>
      </c>
      <c r="KQ20" s="838">
        <f>[1]Субсидия_факт!BZ18</f>
        <v>0</v>
      </c>
      <c r="KR20" s="516">
        <f>[1]Субсидия_факт!CB18</f>
        <v>0</v>
      </c>
      <c r="KS20" s="466">
        <f t="shared" si="140"/>
        <v>0</v>
      </c>
      <c r="KT20" s="625"/>
      <c r="KU20" s="678"/>
      <c r="KV20" s="625"/>
      <c r="KW20" s="498">
        <f t="shared" si="62"/>
        <v>0</v>
      </c>
      <c r="KX20" s="508">
        <f>[1]Субсидия_факт!GN18</f>
        <v>0</v>
      </c>
      <c r="KY20" s="466">
        <f t="shared" si="63"/>
        <v>0</v>
      </c>
      <c r="KZ20" s="625"/>
      <c r="LA20" s="754">
        <f t="shared" si="206"/>
        <v>0</v>
      </c>
      <c r="LB20" s="516">
        <f>[1]Субсидия_факт!JT18</f>
        <v>0</v>
      </c>
      <c r="LC20" s="838">
        <f>[1]Субсидия_факт!JZ18</f>
        <v>0</v>
      </c>
      <c r="LD20" s="508"/>
      <c r="LE20" s="754">
        <f t="shared" si="207"/>
        <v>0</v>
      </c>
      <c r="LF20" s="772"/>
      <c r="LG20" s="678"/>
      <c r="LH20" s="625"/>
      <c r="LI20" s="754">
        <f t="shared" si="141"/>
        <v>5000000</v>
      </c>
      <c r="LJ20" s="516">
        <f>[1]Субсидия_факт!JV18</f>
        <v>0</v>
      </c>
      <c r="LK20" s="838">
        <f>[1]Субсидия_факт!KB18</f>
        <v>0</v>
      </c>
      <c r="LL20" s="518">
        <f>[1]Субсидия_факт!KF18</f>
        <v>5000000</v>
      </c>
      <c r="LM20" s="754">
        <f t="shared" si="142"/>
        <v>5000000</v>
      </c>
      <c r="LN20" s="625"/>
      <c r="LO20" s="771"/>
      <c r="LP20" s="625">
        <v>5000000</v>
      </c>
      <c r="LQ20" s="756">
        <f t="shared" si="143"/>
        <v>5000000</v>
      </c>
      <c r="LR20" s="652">
        <f>'Проверочная  таблица'!LJ20-LZ20</f>
        <v>0</v>
      </c>
      <c r="LS20" s="682">
        <f>'Проверочная  таблица'!LK20-MA20</f>
        <v>0</v>
      </c>
      <c r="LT20" s="622">
        <f>'Проверочная  таблица'!LL20-MB20</f>
        <v>5000000</v>
      </c>
      <c r="LU20" s="756">
        <f t="shared" si="144"/>
        <v>5000000</v>
      </c>
      <c r="LV20" s="750">
        <f>'Проверочная  таблица'!LN20-MD20</f>
        <v>0</v>
      </c>
      <c r="LW20" s="676">
        <f>'Проверочная  таблица'!LO20-ME20</f>
        <v>0</v>
      </c>
      <c r="LX20" s="757">
        <f>'Проверочная  таблица'!LP20-MF20</f>
        <v>5000000</v>
      </c>
      <c r="LY20" s="756">
        <f t="shared" si="145"/>
        <v>0</v>
      </c>
      <c r="LZ20" s="516">
        <f>[1]Субсидия_факт!JX18</f>
        <v>0</v>
      </c>
      <c r="MA20" s="838">
        <f>[1]Субсидия_факт!KD18</f>
        <v>0</v>
      </c>
      <c r="MB20" s="516">
        <f>[1]Субсидия_факт!KH18</f>
        <v>0</v>
      </c>
      <c r="MC20" s="756">
        <f t="shared" si="146"/>
        <v>0</v>
      </c>
      <c r="MD20" s="750">
        <f t="shared" si="203"/>
        <v>0</v>
      </c>
      <c r="ME20" s="676">
        <f t="shared" si="204"/>
        <v>0</v>
      </c>
      <c r="MF20" s="516"/>
      <c r="MG20" s="521">
        <f t="shared" si="147"/>
        <v>1236039.92</v>
      </c>
      <c r="MH20" s="652">
        <f>[1]Субсидия_факт!KR18</f>
        <v>61802</v>
      </c>
      <c r="MI20" s="682">
        <f>[1]Субсидия_факт!KV18</f>
        <v>1174237.92</v>
      </c>
      <c r="MJ20" s="750">
        <f>[1]Субсидия_факт!KZ18</f>
        <v>0</v>
      </c>
      <c r="MK20" s="1519">
        <f>[1]Субсидия_факт!LD18</f>
        <v>0</v>
      </c>
      <c r="ML20" s="521">
        <f t="shared" si="148"/>
        <v>0</v>
      </c>
      <c r="MM20" s="1609">
        <v>0</v>
      </c>
      <c r="MN20" s="706">
        <v>0</v>
      </c>
      <c r="MO20" s="342"/>
      <c r="MP20" s="770"/>
      <c r="MQ20" s="587">
        <f t="shared" ref="MQ20" si="208">SUM(MR20:MU20)</f>
        <v>1236039.92</v>
      </c>
      <c r="MR20" s="1613">
        <f t="shared" ref="MR20" si="209">MH20-NB20</f>
        <v>61802</v>
      </c>
      <c r="MS20" s="682">
        <f t="shared" ref="MS20" si="210">MI20-NC20</f>
        <v>1174237.92</v>
      </c>
      <c r="MT20" s="487">
        <f t="shared" si="66"/>
        <v>0</v>
      </c>
      <c r="MU20" s="682">
        <f t="shared" si="67"/>
        <v>0</v>
      </c>
      <c r="MV20" s="587">
        <f t="shared" si="150"/>
        <v>0</v>
      </c>
      <c r="MW20" s="487">
        <f t="shared" si="68"/>
        <v>0</v>
      </c>
      <c r="MX20" s="682">
        <f t="shared" si="69"/>
        <v>0</v>
      </c>
      <c r="MY20" s="487">
        <f t="shared" si="70"/>
        <v>0</v>
      </c>
      <c r="MZ20" s="682">
        <f t="shared" si="71"/>
        <v>0</v>
      </c>
      <c r="NA20" s="587">
        <f t="shared" si="151"/>
        <v>0</v>
      </c>
      <c r="NB20" s="1079">
        <f>[1]Субсидия_факт!KT18</f>
        <v>0</v>
      </c>
      <c r="NC20" s="682">
        <f>[1]Субсидия_факт!KX18</f>
        <v>0</v>
      </c>
      <c r="ND20" s="625">
        <f>[1]Субсидия_факт!LB18</f>
        <v>0</v>
      </c>
      <c r="NE20" s="709">
        <f>[1]Субсидия_факт!LF18</f>
        <v>0</v>
      </c>
      <c r="NF20" s="587">
        <f t="shared" si="152"/>
        <v>0</v>
      </c>
      <c r="NG20" s="487"/>
      <c r="NH20" s="712"/>
      <c r="NI20" s="342"/>
      <c r="NJ20" s="706"/>
      <c r="NK20" s="498">
        <f t="shared" si="72"/>
        <v>0</v>
      </c>
      <c r="NL20" s="516">
        <f>[1]Субсидия_факт!AB18</f>
        <v>0</v>
      </c>
      <c r="NM20" s="838">
        <f>[1]Субсидия_факт!AD18</f>
        <v>0</v>
      </c>
      <c r="NN20" s="466">
        <f t="shared" si="73"/>
        <v>0</v>
      </c>
      <c r="NO20" s="772"/>
      <c r="NP20" s="987"/>
      <c r="NQ20" s="521">
        <f t="shared" si="153"/>
        <v>0</v>
      </c>
      <c r="NR20" s="506">
        <f>[1]Субсидия_факт!LH18</f>
        <v>0</v>
      </c>
      <c r="NS20" s="866">
        <f>[1]Субсидия_факт!LJ18</f>
        <v>0</v>
      </c>
      <c r="NT20" s="525">
        <f>[1]Субсидия_факт!MN18</f>
        <v>0</v>
      </c>
      <c r="NU20" s="689">
        <f>[1]Субсидия_факт!MP18</f>
        <v>0</v>
      </c>
      <c r="NV20" s="1147">
        <f>[1]Субсидия_факт!MB18</f>
        <v>0</v>
      </c>
      <c r="NW20" s="682">
        <f>[1]Субсидия_факт!MH18</f>
        <v>0</v>
      </c>
      <c r="NX20" s="521">
        <f t="shared" si="154"/>
        <v>0</v>
      </c>
      <c r="NY20" s="474"/>
      <c r="NZ20" s="686"/>
      <c r="OA20" s="474"/>
      <c r="OB20" s="686"/>
      <c r="OC20" s="342"/>
      <c r="OD20" s="1279"/>
      <c r="OE20" s="521">
        <f t="shared" si="155"/>
        <v>0</v>
      </c>
      <c r="OF20" s="652">
        <f>[1]Субсидия_факт!KJ18</f>
        <v>0</v>
      </c>
      <c r="OG20" s="682">
        <f>[1]Субсидия_факт!KN18</f>
        <v>0</v>
      </c>
      <c r="OH20" s="652">
        <f>[1]Субсидия_факт!LL18</f>
        <v>0</v>
      </c>
      <c r="OI20" s="682">
        <f>[1]Субсидия_факт!LP18</f>
        <v>0</v>
      </c>
      <c r="OJ20" s="652">
        <f>[1]Субсидия_факт!MD18</f>
        <v>0</v>
      </c>
      <c r="OK20" s="682">
        <f>[1]Субсидия_факт!MJ18</f>
        <v>0</v>
      </c>
      <c r="OL20" s="521">
        <f t="shared" si="156"/>
        <v>0</v>
      </c>
      <c r="OM20" s="487"/>
      <c r="ON20" s="712"/>
      <c r="OO20" s="474"/>
      <c r="OP20" s="686"/>
      <c r="OQ20" s="487"/>
      <c r="OR20" s="712"/>
      <c r="OS20" s="587">
        <f t="shared" si="157"/>
        <v>0</v>
      </c>
      <c r="OT20" s="1066">
        <f t="shared" si="74"/>
        <v>0</v>
      </c>
      <c r="OU20" s="682">
        <f t="shared" si="75"/>
        <v>0</v>
      </c>
      <c r="OV20" s="1066">
        <f t="shared" si="76"/>
        <v>0</v>
      </c>
      <c r="OW20" s="682">
        <f t="shared" si="77"/>
        <v>0</v>
      </c>
      <c r="OX20" s="1147">
        <f t="shared" si="78"/>
        <v>0</v>
      </c>
      <c r="OY20" s="682">
        <f t="shared" si="79"/>
        <v>0</v>
      </c>
      <c r="OZ20" s="587">
        <f t="shared" si="158"/>
        <v>0</v>
      </c>
      <c r="PA20" s="1066">
        <f t="shared" si="80"/>
        <v>0</v>
      </c>
      <c r="PB20" s="682">
        <f t="shared" si="81"/>
        <v>0</v>
      </c>
      <c r="PC20" s="1066">
        <f t="shared" si="82"/>
        <v>0</v>
      </c>
      <c r="PD20" s="682">
        <f t="shared" si="83"/>
        <v>0</v>
      </c>
      <c r="PE20" s="1147">
        <f t="shared" si="84"/>
        <v>0</v>
      </c>
      <c r="PF20" s="682">
        <f t="shared" si="85"/>
        <v>0</v>
      </c>
      <c r="PG20" s="587">
        <f t="shared" si="159"/>
        <v>0</v>
      </c>
      <c r="PH20" s="1079">
        <f>[1]Субсидия_факт!KL18</f>
        <v>0</v>
      </c>
      <c r="PI20" s="682">
        <f>[1]Субсидия_факт!KP18</f>
        <v>0</v>
      </c>
      <c r="PJ20" s="652">
        <f>[1]Субсидия_факт!LN18</f>
        <v>0</v>
      </c>
      <c r="PK20" s="682">
        <f>[1]Субсидия_факт!LR18</f>
        <v>0</v>
      </c>
      <c r="PL20" s="652">
        <f>[1]Субсидия_факт!MF18</f>
        <v>0</v>
      </c>
      <c r="PM20" s="682">
        <f>[1]Субсидия_факт!ML18</f>
        <v>0</v>
      </c>
      <c r="PN20" s="587">
        <f t="shared" si="160"/>
        <v>0</v>
      </c>
      <c r="PO20" s="487"/>
      <c r="PP20" s="712"/>
      <c r="PQ20" s="474"/>
      <c r="PR20" s="686"/>
      <c r="PS20" s="487"/>
      <c r="PT20" s="712"/>
      <c r="PU20" s="466">
        <f t="shared" si="161"/>
        <v>0</v>
      </c>
      <c r="PV20" s="516">
        <f>[1]Субсидия_факт!MR18</f>
        <v>0</v>
      </c>
      <c r="PW20" s="838">
        <f>[1]Субсидия_факт!MX18</f>
        <v>0</v>
      </c>
      <c r="PX20" s="466">
        <f t="shared" si="162"/>
        <v>0</v>
      </c>
      <c r="PY20" s="724"/>
      <c r="PZ20" s="678"/>
      <c r="QA20" s="579">
        <f t="shared" si="163"/>
        <v>0</v>
      </c>
      <c r="QB20" s="516">
        <f>[1]Субсидия_факт!MT18</f>
        <v>0</v>
      </c>
      <c r="QC20" s="838">
        <f>[1]Субсидия_факт!MZ18</f>
        <v>0</v>
      </c>
      <c r="QD20" s="466">
        <f t="shared" si="164"/>
        <v>0</v>
      </c>
      <c r="QE20" s="724"/>
      <c r="QF20" s="987"/>
      <c r="QG20" s="669">
        <f t="shared" si="165"/>
        <v>0</v>
      </c>
      <c r="QH20" s="516">
        <f t="shared" si="166"/>
        <v>0</v>
      </c>
      <c r="QI20" s="838">
        <f t="shared" si="167"/>
        <v>0</v>
      </c>
      <c r="QJ20" s="669">
        <f t="shared" si="168"/>
        <v>0</v>
      </c>
      <c r="QK20" s="516">
        <f t="shared" si="169"/>
        <v>0</v>
      </c>
      <c r="QL20" s="838">
        <f t="shared" si="170"/>
        <v>0</v>
      </c>
      <c r="QM20" s="669">
        <f t="shared" si="171"/>
        <v>0</v>
      </c>
      <c r="QN20" s="516">
        <f>[1]Субсидия_факт!MV18</f>
        <v>0</v>
      </c>
      <c r="QO20" s="838">
        <f>[1]Субсидия_факт!NB18</f>
        <v>0</v>
      </c>
      <c r="QP20" s="669">
        <f t="shared" si="172"/>
        <v>0</v>
      </c>
      <c r="QQ20" s="516">
        <f>[1]Субсидия_факт!NI18</f>
        <v>0</v>
      </c>
      <c r="QR20" s="752">
        <f>[1]Субсидия_факт!NO18</f>
        <v>0</v>
      </c>
      <c r="QS20" s="521">
        <f>'Прочая  субсидия_МР  и  ГО'!B16</f>
        <v>10114221.609999999</v>
      </c>
      <c r="QT20" s="521">
        <f>'Прочая  субсидия_МР  и  ГО'!C16</f>
        <v>8011092.6499999994</v>
      </c>
      <c r="QU20" s="524">
        <f>'Прочая  субсидия_БП'!B16</f>
        <v>2808058.48</v>
      </c>
      <c r="QV20" s="526">
        <f>'Прочая  субсидия_БП'!C16</f>
        <v>613895.17000000004</v>
      </c>
      <c r="QW20" s="583">
        <f>'Прочая  субсидия_БП'!D16</f>
        <v>2808058.48</v>
      </c>
      <c r="QX20" s="582">
        <f>'Прочая  субсидия_БП'!E16</f>
        <v>613895.17000000004</v>
      </c>
      <c r="QY20" s="588">
        <f>'Прочая  субсидия_БП'!F16</f>
        <v>0</v>
      </c>
      <c r="QZ20" s="583">
        <f>'Прочая  субсидия_БП'!G16</f>
        <v>0</v>
      </c>
      <c r="RA20" s="526">
        <f t="shared" si="173"/>
        <v>221056758.72</v>
      </c>
      <c r="RB20" s="525">
        <f>'Проверочная  таблица'!SF20+'Проверочная  таблица'!RG20+'Проверочная  таблица'!RI20+'Проверочная  таблица'!RK20+RX20</f>
        <v>214087945.46000001</v>
      </c>
      <c r="RC20" s="508">
        <f>'Проверочная  таблица'!SG20+'Проверочная  таблица'!RM20+'Проверочная  таблица'!RS20+'Проверочная  таблица'!RO20+'Проверочная  таблица'!RQ20+RU20+RY20+SC20</f>
        <v>6968813.2600000007</v>
      </c>
      <c r="RD20" s="521">
        <f t="shared" si="174"/>
        <v>165107317.62</v>
      </c>
      <c r="RE20" s="506">
        <f>'Проверочная  таблица'!SI20+'Проверочная  таблица'!RH20+'Проверочная  таблица'!RJ20+'Проверочная  таблица'!RL20+SA20</f>
        <v>160810551.28</v>
      </c>
      <c r="RF20" s="508">
        <f>'Проверочная  таблица'!SJ20+'Проверочная  таблица'!RN20+'Проверочная  таблица'!RT20+'Проверочная  таблица'!RP20+'Проверочная  таблица'!RR20+RV20+SB20+SD20</f>
        <v>4296766.34</v>
      </c>
      <c r="RG20" s="579">
        <f>'Субвенция  на  полномочия'!B16</f>
        <v>199378499.40000001</v>
      </c>
      <c r="RH20" s="466">
        <f>'Субвенция  на  полномочия'!C16</f>
        <v>149305962.5</v>
      </c>
      <c r="RI20" s="733">
        <f>[1]Субвенция_факт!Q17*1000</f>
        <v>10898786</v>
      </c>
      <c r="RJ20" s="736">
        <v>8830000</v>
      </c>
      <c r="RK20" s="733">
        <f>[1]Субвенция_факт!J17*1000</f>
        <v>1222760</v>
      </c>
      <c r="RL20" s="736">
        <v>900000</v>
      </c>
      <c r="RM20" s="733">
        <f>[1]Субвенция_факт!AE17*1000</f>
        <v>1352700</v>
      </c>
      <c r="RN20" s="736">
        <v>833320.15</v>
      </c>
      <c r="RO20" s="733">
        <f>[1]Субвенция_факт!AF17*1000</f>
        <v>1000</v>
      </c>
      <c r="RP20" s="736">
        <v>0</v>
      </c>
      <c r="RQ20" s="733">
        <f>[1]Субвенция_факт!E17*1000</f>
        <v>0</v>
      </c>
      <c r="RR20" s="736"/>
      <c r="RS20" s="733">
        <f>[1]Субвенция_факт!F17*1000</f>
        <v>0</v>
      </c>
      <c r="RT20" s="827"/>
      <c r="RU20" s="170">
        <f>[1]Субвенция_факт!G17*1000</f>
        <v>749538</v>
      </c>
      <c r="RV20" s="1109">
        <v>703926</v>
      </c>
      <c r="RW20" s="521">
        <f t="shared" si="88"/>
        <v>5155553.79</v>
      </c>
      <c r="RX20" s="622">
        <f>[1]Субвенция_факт!N17*1000</f>
        <v>1443555.06</v>
      </c>
      <c r="RY20" s="682">
        <f>[1]Субвенция_факт!O17*1000</f>
        <v>3711998.73</v>
      </c>
      <c r="RZ20" s="521">
        <f t="shared" si="89"/>
        <v>2888888.48</v>
      </c>
      <c r="SA20" s="773">
        <v>808888.78</v>
      </c>
      <c r="SB20" s="1279">
        <v>2079999.7</v>
      </c>
      <c r="SC20" s="170">
        <f>[1]Субвенция_факт!AG17*1000</f>
        <v>263576.52999999997</v>
      </c>
      <c r="SD20" s="1277"/>
      <c r="SE20" s="498">
        <f t="shared" si="175"/>
        <v>2034345</v>
      </c>
      <c r="SF20" s="833">
        <f>[1]Субвенция_факт!AD17*1000</f>
        <v>1144345</v>
      </c>
      <c r="SG20" s="1562">
        <f>[1]Субвенция_факт!AC17*1000</f>
        <v>890000</v>
      </c>
      <c r="SH20" s="521">
        <f t="shared" si="176"/>
        <v>1645220.49</v>
      </c>
      <c r="SI20" s="1557">
        <v>965700</v>
      </c>
      <c r="SJ20" s="1635">
        <v>679520.49</v>
      </c>
      <c r="SK20" s="280">
        <f>'Проверочная  таблица'!VC20+'Проверочная  таблица'!UO20+'Проверочная  таблица'!SY20+'Проверочная  таблица'!TC20+UA20+UG20+TK20+TQ20+SM20+SS20</f>
        <v>27138701.93</v>
      </c>
      <c r="SL20" s="170">
        <f>'Проверочная  таблица'!VF20+'Проверочная  таблица'!UV20+'Проверочная  таблица'!TA20+'Проверочная  таблица'!TE20+UD20+UK20+TN20+TT20+SP20+SV20</f>
        <v>19692886.969999999</v>
      </c>
      <c r="SM20" s="524">
        <f t="shared" si="92"/>
        <v>9061920</v>
      </c>
      <c r="SN20" s="833">
        <f>'[1]Иные межбюджетные трансферты'!I18</f>
        <v>0</v>
      </c>
      <c r="SO20" s="880">
        <f>'[1]Иные межбюджетные трансферты'!K18</f>
        <v>9061920</v>
      </c>
      <c r="SP20" s="521">
        <f t="shared" si="93"/>
        <v>7349160</v>
      </c>
      <c r="SQ20" s="1421"/>
      <c r="SR20" s="1422">
        <v>7349160</v>
      </c>
      <c r="SS20" s="521">
        <f t="shared" si="177"/>
        <v>0</v>
      </c>
      <c r="ST20" s="1082">
        <f>'[1]Иные межбюджетные трансферты'!Y18</f>
        <v>0</v>
      </c>
      <c r="SU20" s="1630">
        <f>'[1]Иные межбюджетные трансферты'!AE18</f>
        <v>0</v>
      </c>
      <c r="SV20" s="521">
        <f t="shared" si="178"/>
        <v>0</v>
      </c>
      <c r="SW20" s="906"/>
      <c r="SX20" s="1422"/>
      <c r="SY20" s="1254">
        <f t="shared" si="94"/>
        <v>0</v>
      </c>
      <c r="SZ20" s="1009">
        <f>'[1]Иные межбюджетные трансферты'!AG18</f>
        <v>0</v>
      </c>
      <c r="TA20" s="899">
        <f t="shared" si="95"/>
        <v>0</v>
      </c>
      <c r="TB20" s="1422"/>
      <c r="TC20" s="903">
        <f t="shared" si="96"/>
        <v>0</v>
      </c>
      <c r="TD20" s="1009">
        <f>'[1]Иные межбюджетные трансферты'!AI18</f>
        <v>0</v>
      </c>
      <c r="TE20" s="899">
        <f t="shared" si="97"/>
        <v>0</v>
      </c>
      <c r="TF20" s="1082"/>
      <c r="TG20" s="901">
        <f t="shared" si="98"/>
        <v>0</v>
      </c>
      <c r="TH20" s="897">
        <f t="shared" si="99"/>
        <v>0</v>
      </c>
      <c r="TI20" s="1086">
        <f t="shared" si="179"/>
        <v>0</v>
      </c>
      <c r="TJ20" s="897">
        <f t="shared" si="180"/>
        <v>0</v>
      </c>
      <c r="TK20" s="903">
        <f t="shared" si="181"/>
        <v>0</v>
      </c>
      <c r="TL20" s="1079"/>
      <c r="TM20" s="682"/>
      <c r="TN20" s="903">
        <f t="shared" si="182"/>
        <v>0</v>
      </c>
      <c r="TO20" s="773"/>
      <c r="TP20" s="686"/>
      <c r="TQ20" s="903">
        <f t="shared" si="183"/>
        <v>0</v>
      </c>
      <c r="TR20" s="1079">
        <f>'[1]Иные межбюджетные трансферты'!AQ18</f>
        <v>0</v>
      </c>
      <c r="TS20" s="682">
        <f>'[1]Иные межбюджетные трансферты'!AU18</f>
        <v>0</v>
      </c>
      <c r="TT20" s="899">
        <f t="shared" si="184"/>
        <v>0</v>
      </c>
      <c r="TU20" s="753"/>
      <c r="TV20" s="771"/>
      <c r="TW20" s="820">
        <f t="shared" si="185"/>
        <v>0</v>
      </c>
      <c r="TX20" s="820">
        <f t="shared" si="186"/>
        <v>0</v>
      </c>
      <c r="TY20" s="820">
        <f t="shared" si="187"/>
        <v>0</v>
      </c>
      <c r="TZ20" s="1199">
        <f t="shared" si="188"/>
        <v>0</v>
      </c>
      <c r="UA20" s="1134">
        <f t="shared" si="100"/>
        <v>0</v>
      </c>
      <c r="UB20" s="945">
        <f>'[1]Иные межбюджетные трансферты'!U18</f>
        <v>0</v>
      </c>
      <c r="UC20" s="1133">
        <f>'[1]Иные межбюджетные трансферты'!W18</f>
        <v>0</v>
      </c>
      <c r="UD20" s="734">
        <f t="shared" si="101"/>
        <v>0</v>
      </c>
      <c r="UE20" s="945"/>
      <c r="UF20" s="1133"/>
      <c r="UG20" s="734">
        <f t="shared" si="189"/>
        <v>0</v>
      </c>
      <c r="UH20" s="945">
        <f>'[1]Иные межбюджетные трансферты'!O18</f>
        <v>0</v>
      </c>
      <c r="UI20" s="1133">
        <f>'[1]Иные межбюджетные трансферты'!Q18</f>
        <v>0</v>
      </c>
      <c r="UJ20" s="1133">
        <f>'[1]Иные межбюджетные трансферты'!S18</f>
        <v>0</v>
      </c>
      <c r="UK20" s="734">
        <f t="shared" si="190"/>
        <v>0</v>
      </c>
      <c r="UL20" s="1513"/>
      <c r="UM20" s="1426"/>
      <c r="UN20" s="1624"/>
      <c r="UO20" s="1585">
        <f t="shared" si="191"/>
        <v>13688699.33</v>
      </c>
      <c r="UP20" s="833">
        <f>'[1]Иные межбюджетные трансферты'!E18</f>
        <v>0</v>
      </c>
      <c r="UQ20" s="880">
        <f>'[1]Иные межбюджетные трансферты'!G18</f>
        <v>0</v>
      </c>
      <c r="UR20" s="830">
        <f>'[1]Иные межбюджетные трансферты'!M18</f>
        <v>13186000</v>
      </c>
      <c r="US20" s="1044"/>
      <c r="UT20" s="1498">
        <f>'[1]Иные межбюджетные трансферты'!AY18</f>
        <v>0</v>
      </c>
      <c r="UU20" s="1539">
        <f>'[1]Иные межбюджетные трансферты'!BA18</f>
        <v>502699.32999999996</v>
      </c>
      <c r="UV20" s="834">
        <f t="shared" si="192"/>
        <v>7957470.5300000003</v>
      </c>
      <c r="UW20" s="908"/>
      <c r="UX20" s="906"/>
      <c r="UY20" s="1425">
        <v>7454771.2000000002</v>
      </c>
      <c r="UZ20" s="516"/>
      <c r="VA20" s="518">
        <f t="shared" si="102"/>
        <v>0</v>
      </c>
      <c r="VB20" s="516">
        <f t="shared" si="193"/>
        <v>502699.32999999996</v>
      </c>
      <c r="VC20" s="899">
        <f t="shared" si="194"/>
        <v>4388082.5999999996</v>
      </c>
      <c r="VD20" s="830">
        <f>'[1]Иные межбюджетные трансферты'!AM18</f>
        <v>1553071.96</v>
      </c>
      <c r="VE20" s="1587">
        <f>'[1]Иные межбюджетные трансферты'!BC18</f>
        <v>2835010.64</v>
      </c>
      <c r="VF20" s="1495">
        <f t="shared" si="195"/>
        <v>4386256.4400000004</v>
      </c>
      <c r="VG20" s="753">
        <v>1551245.8</v>
      </c>
      <c r="VH20" s="1251">
        <f t="shared" si="196"/>
        <v>2835010.64</v>
      </c>
      <c r="VI20" s="1199">
        <f t="shared" si="197"/>
        <v>4388082.5999999996</v>
      </c>
      <c r="VJ20" s="516">
        <f>'Проверочная  таблица'!VD20-VP20</f>
        <v>1553071.96</v>
      </c>
      <c r="VK20" s="516">
        <f>'Проверочная  таблица'!VE20-VQ20</f>
        <v>2835010.64</v>
      </c>
      <c r="VL20" s="1199">
        <f t="shared" si="198"/>
        <v>4386256.4400000004</v>
      </c>
      <c r="VM20" s="516">
        <f>'Проверочная  таблица'!VG20-VS20</f>
        <v>1551245.8</v>
      </c>
      <c r="VN20" s="516">
        <f>'Проверочная  таблица'!VH20-VT20</f>
        <v>2835010.64</v>
      </c>
      <c r="VO20" s="1199">
        <f t="shared" si="199"/>
        <v>0</v>
      </c>
      <c r="VP20" s="833">
        <f>'[1]Иные межбюджетные трансферты'!AO18</f>
        <v>0</v>
      </c>
      <c r="VQ20" s="830">
        <f>'[1]Иные межбюджетные трансферты'!BE18</f>
        <v>0</v>
      </c>
      <c r="VR20" s="1501">
        <f t="shared" si="200"/>
        <v>0</v>
      </c>
      <c r="VS20" s="1492"/>
      <c r="VT20" s="518">
        <f t="shared" si="201"/>
        <v>0</v>
      </c>
      <c r="VU20" s="521">
        <f>VW20+'Проверочная  таблица'!WE20+WA20+'Проверочная  таблица'!WI20+WC20+'Проверочная  таблица'!WK20</f>
        <v>0</v>
      </c>
      <c r="VV20" s="521">
        <f>VX20+'Проверочная  таблица'!WF20+WB20+'Проверочная  таблица'!WJ20+WD20+'Проверочная  таблица'!WL20</f>
        <v>0</v>
      </c>
      <c r="VW20" s="533"/>
      <c r="VX20" s="533"/>
      <c r="VY20" s="533"/>
      <c r="VZ20" s="533"/>
      <c r="WA20" s="530">
        <f t="shared" si="103"/>
        <v>0</v>
      </c>
      <c r="WB20" s="528">
        <f t="shared" si="104"/>
        <v>0</v>
      </c>
      <c r="WC20" s="534"/>
      <c r="WD20" s="523"/>
      <c r="WE20" s="533"/>
      <c r="WF20" s="533"/>
      <c r="WG20" s="533"/>
      <c r="WH20" s="533"/>
      <c r="WI20" s="530">
        <f t="shared" si="105"/>
        <v>0</v>
      </c>
      <c r="WJ20" s="528">
        <f t="shared" si="106"/>
        <v>0</v>
      </c>
      <c r="WK20" s="523"/>
      <c r="WL20" s="523"/>
      <c r="WM20" s="252">
        <f>'Проверочная  таблица'!WE20+'Проверочная  таблица'!WG20</f>
        <v>0</v>
      </c>
      <c r="WN20" s="252">
        <f>'Проверочная  таблица'!WF20+'Проверочная  таблица'!WH20</f>
        <v>0</v>
      </c>
      <c r="WO20" s="1042"/>
    </row>
    <row r="21" spans="1:613" s="338" customFormat="1" ht="25.5" customHeight="1" x14ac:dyDescent="0.25">
      <c r="A21" s="347" t="s">
        <v>88</v>
      </c>
      <c r="B21" s="526">
        <f>D21+AI21+'Проверочная  таблица'!RA21+'Проверочная  таблица'!SK21</f>
        <v>376385006.07999998</v>
      </c>
      <c r="C21" s="521">
        <f>E21+'Проверочная  таблица'!RD21+AJ21+'Проверочная  таблица'!SL21</f>
        <v>261779005.17000002</v>
      </c>
      <c r="D21" s="524">
        <f t="shared" si="0"/>
        <v>107693099</v>
      </c>
      <c r="E21" s="526">
        <f t="shared" si="1"/>
        <v>77031659</v>
      </c>
      <c r="F21" s="581">
        <f>'[1]Дотация  из  ОБ_факт'!M17</f>
        <v>41962400</v>
      </c>
      <c r="G21" s="963">
        <v>31471800</v>
      </c>
      <c r="H21" s="581">
        <f>'[1]Дотация  из  ОБ_факт'!G17</f>
        <v>4246000</v>
      </c>
      <c r="I21" s="963">
        <v>3184590</v>
      </c>
      <c r="J21" s="582">
        <f t="shared" si="2"/>
        <v>4246000</v>
      </c>
      <c r="K21" s="588">
        <f t="shared" si="3"/>
        <v>3184590</v>
      </c>
      <c r="L21" s="835">
        <f>'[1]Дотация  из  ОБ_факт'!K17</f>
        <v>0</v>
      </c>
      <c r="M21" s="1446"/>
      <c r="N21" s="581">
        <f>'[1]Дотация  из  ОБ_факт'!Q17</f>
        <v>26947840</v>
      </c>
      <c r="O21" s="963">
        <v>14686600</v>
      </c>
      <c r="P21" s="581">
        <f>'[1]Дотация  из  ОБ_факт'!S17</f>
        <v>34133109</v>
      </c>
      <c r="Q21" s="1442">
        <v>27284919</v>
      </c>
      <c r="R21" s="588">
        <f t="shared" si="4"/>
        <v>34133109</v>
      </c>
      <c r="S21" s="583">
        <f t="shared" si="5"/>
        <v>27284919</v>
      </c>
      <c r="T21" s="835">
        <f>'[1]Дотация  из  ОБ_факт'!W17</f>
        <v>0</v>
      </c>
      <c r="U21" s="1448"/>
      <c r="V21" s="581">
        <f>'[1]Дотация  из  ОБ_факт'!AA17+'[1]Дотация  из  ОБ_факт'!AC17+'[1]Дотация  из  ОБ_факт'!AG17</f>
        <v>0</v>
      </c>
      <c r="W21" s="461">
        <f t="shared" si="6"/>
        <v>0</v>
      </c>
      <c r="X21" s="585"/>
      <c r="Y21" s="584"/>
      <c r="Z21" s="585"/>
      <c r="AA21" s="581">
        <f>'[1]Дотация  из  ОБ_факт'!Y17+'[1]Дотация  из  ОБ_факт'!AE17</f>
        <v>403750</v>
      </c>
      <c r="AB21" s="172">
        <f t="shared" si="7"/>
        <v>403750</v>
      </c>
      <c r="AC21" s="584">
        <v>403750</v>
      </c>
      <c r="AD21" s="585"/>
      <c r="AE21" s="582">
        <f t="shared" si="8"/>
        <v>403750</v>
      </c>
      <c r="AF21" s="588">
        <f t="shared" si="9"/>
        <v>403750</v>
      </c>
      <c r="AG21" s="1187">
        <f>'[1]Дотация  из  ОБ_факт'!AE17</f>
        <v>0</v>
      </c>
      <c r="AH21" s="1480">
        <f t="shared" si="107"/>
        <v>0</v>
      </c>
      <c r="AI21" s="579">
        <f>'Проверочная  таблица'!KW21+'Проверочная  таблица'!QS21+'Проверочная  таблица'!QU21+CS21+CU21+DA21+DC21+BU21+CE21+'Проверочная  таблица'!IQ21+'Проверочная  таблица'!JK21+'Проверочная  таблица'!EE21+'Проверочная  таблица'!KO21+DQ21+'Проверочная  таблица'!HQ21+'Проверочная  таблица'!HW21+'Проверочная  таблица'!LA21+'Проверочная  таблица'!LI21+HK21+FQ21+FE21+NK21+EY21+AK21+AW21+FK21+GM21+GS21+DI21+NQ21+FW21+EK21+OE21+MG21+GG21+PU21+QA21</f>
        <v>67999714.719999999</v>
      </c>
      <c r="AJ21" s="498">
        <f>'Проверочная  таблица'!KY21+'Проверочная  таблица'!QT21+'Проверочная  таблица'!QV21+CT21+CV21+DB21+DD21+BZ21+CJ21+'Проверочная  таблица'!JA21+'Проверочная  таблица'!JP21+'Проверочная  таблица'!EH21+'Проверочная  таблица'!KS21+DX21+'Проверочная  таблица'!HT21+'Проверочная  таблица'!HZ21+'Проверочная  таблица'!LE21+'Проверочная  таблица'!LM21+HN21+FN21+FT21+FH21+NN21+FB21+AQ21+BA21+GP21+GV21+DM21+NX21+FZ21+ER21+OL21+ML21+GJ21+PX21+QD21</f>
        <v>41733891.969999999</v>
      </c>
      <c r="AK21" s="466">
        <f t="shared" si="108"/>
        <v>0</v>
      </c>
      <c r="AL21" s="525">
        <f>[1]Субсидия_факт!CD19</f>
        <v>0</v>
      </c>
      <c r="AM21" s="508">
        <f>[1]Субсидия_факт!EX19</f>
        <v>0</v>
      </c>
      <c r="AN21" s="506">
        <f>[1]Субсидия_факт!FJ19</f>
        <v>0</v>
      </c>
      <c r="AO21" s="525">
        <f>[1]Субсидия_факт!LT19</f>
        <v>0</v>
      </c>
      <c r="AP21" s="622">
        <f>[1]Субсидия_факт!LZ19</f>
        <v>0</v>
      </c>
      <c r="AQ21" s="748">
        <f t="shared" si="109"/>
        <v>0</v>
      </c>
      <c r="AR21" s="474"/>
      <c r="AS21" s="474"/>
      <c r="AT21" s="474"/>
      <c r="AU21" s="474"/>
      <c r="AV21" s="531"/>
      <c r="AW21" s="498">
        <f t="shared" si="10"/>
        <v>0</v>
      </c>
      <c r="AX21" s="525">
        <f>[1]Субсидия_факт!CF19</f>
        <v>0</v>
      </c>
      <c r="AY21" s="508">
        <f>[1]Субсидия_факт!FB19</f>
        <v>0</v>
      </c>
      <c r="AZ21" s="646">
        <f>[1]Субсидия_факт!LV19</f>
        <v>0</v>
      </c>
      <c r="BA21" s="466">
        <f t="shared" si="11"/>
        <v>0</v>
      </c>
      <c r="BB21" s="531"/>
      <c r="BC21" s="531"/>
      <c r="BD21" s="532"/>
      <c r="BE21" s="669">
        <f t="shared" si="12"/>
        <v>0</v>
      </c>
      <c r="BF21" s="652">
        <f t="shared" si="13"/>
        <v>0</v>
      </c>
      <c r="BG21" s="464">
        <f t="shared" si="14"/>
        <v>0</v>
      </c>
      <c r="BH21" s="341">
        <f t="shared" si="15"/>
        <v>0</v>
      </c>
      <c r="BI21" s="669">
        <f t="shared" si="16"/>
        <v>0</v>
      </c>
      <c r="BJ21" s="622">
        <f t="shared" si="17"/>
        <v>0</v>
      </c>
      <c r="BK21" s="506">
        <f t="shared" si="18"/>
        <v>0</v>
      </c>
      <c r="BL21" s="341">
        <f t="shared" si="19"/>
        <v>0</v>
      </c>
      <c r="BM21" s="667">
        <f t="shared" si="20"/>
        <v>0</v>
      </c>
      <c r="BN21" s="525">
        <f>[1]Субсидия_факт!CH19</f>
        <v>0</v>
      </c>
      <c r="BO21" s="508">
        <f>[1]Субсидия_факт!FD19</f>
        <v>0</v>
      </c>
      <c r="BP21" s="646">
        <f>[1]Субсидия_факт!LX19</f>
        <v>0</v>
      </c>
      <c r="BQ21" s="669">
        <f t="shared" si="21"/>
        <v>0</v>
      </c>
      <c r="BR21" s="532"/>
      <c r="BS21" s="531"/>
      <c r="BT21" s="532"/>
      <c r="BU21" s="521">
        <f t="shared" si="110"/>
        <v>24118092.600000001</v>
      </c>
      <c r="BV21" s="562">
        <f>[1]Субсидия_факт!HB19</f>
        <v>0</v>
      </c>
      <c r="BW21" s="516">
        <f>[1]Субсидия_факт!HH19</f>
        <v>24118092.600000001</v>
      </c>
      <c r="BX21" s="531">
        <f>[1]Субсидия_факт!HP19</f>
        <v>0</v>
      </c>
      <c r="BY21" s="562">
        <f>[1]Субсидия_факт!HV19</f>
        <v>0</v>
      </c>
      <c r="BZ21" s="521">
        <f t="shared" si="111"/>
        <v>21328064.149999999</v>
      </c>
      <c r="CA21" s="531"/>
      <c r="CB21" s="531">
        <v>21328064.149999999</v>
      </c>
      <c r="CC21" s="625"/>
      <c r="CD21" s="625"/>
      <c r="CE21" s="526">
        <f t="shared" si="112"/>
        <v>0</v>
      </c>
      <c r="CF21" s="525">
        <f>[1]Субсидия_факт!HD19</f>
        <v>0</v>
      </c>
      <c r="CG21" s="525">
        <f>[1]Субсидия_факт!HJ19</f>
        <v>0</v>
      </c>
      <c r="CH21" s="531">
        <f>[1]Субсидия_факт!HR19</f>
        <v>0</v>
      </c>
      <c r="CI21" s="646">
        <f>[1]Субсидия_факт!HX19</f>
        <v>0</v>
      </c>
      <c r="CJ21" s="521">
        <f t="shared" si="113"/>
        <v>0</v>
      </c>
      <c r="CK21" s="531"/>
      <c r="CL21" s="532"/>
      <c r="CM21" s="625"/>
      <c r="CN21" s="724"/>
      <c r="CO21" s="530">
        <f t="shared" si="22"/>
        <v>0</v>
      </c>
      <c r="CP21" s="528">
        <f t="shared" si="23"/>
        <v>0</v>
      </c>
      <c r="CQ21" s="527">
        <f t="shared" si="114"/>
        <v>0</v>
      </c>
      <c r="CR21" s="530">
        <f t="shared" si="115"/>
        <v>0</v>
      </c>
      <c r="CS21" s="521">
        <f>[1]Субсидия_факт!FL19</f>
        <v>0</v>
      </c>
      <c r="CT21" s="620"/>
      <c r="CU21" s="521">
        <f>[1]Субсидия_факт!FN19</f>
        <v>0</v>
      </c>
      <c r="CV21" s="620"/>
      <c r="CW21" s="528">
        <f t="shared" si="24"/>
        <v>0</v>
      </c>
      <c r="CX21" s="527">
        <f t="shared" si="25"/>
        <v>0</v>
      </c>
      <c r="CY21" s="587">
        <f>[1]Субсидия_факт!FP19</f>
        <v>0</v>
      </c>
      <c r="CZ21" s="1480">
        <f t="shared" si="205"/>
        <v>0</v>
      </c>
      <c r="DA21" s="526">
        <f>[1]Субсидия_факт!FR19</f>
        <v>0</v>
      </c>
      <c r="DB21" s="339"/>
      <c r="DC21" s="524">
        <f>[1]Субсидия_факт!FT19</f>
        <v>0</v>
      </c>
      <c r="DD21" s="339"/>
      <c r="DE21" s="1238">
        <f t="shared" si="26"/>
        <v>0</v>
      </c>
      <c r="DF21" s="528">
        <f t="shared" si="27"/>
        <v>0</v>
      </c>
      <c r="DG21" s="663">
        <f>[1]Субсидия_факт!FV19</f>
        <v>0</v>
      </c>
      <c r="DH21" s="1478">
        <f t="shared" si="116"/>
        <v>0</v>
      </c>
      <c r="DI21" s="498">
        <f t="shared" si="117"/>
        <v>0</v>
      </c>
      <c r="DJ21" s="625">
        <f>[1]Субсидия_факт!EV19</f>
        <v>0</v>
      </c>
      <c r="DK21" s="516">
        <f>[1]Субсидия_факт!EL19</f>
        <v>0</v>
      </c>
      <c r="DL21" s="838">
        <f>[1]Субсидия_факт!EN19</f>
        <v>0</v>
      </c>
      <c r="DM21" s="466">
        <f t="shared" si="118"/>
        <v>0</v>
      </c>
      <c r="DN21" s="625"/>
      <c r="DO21" s="625"/>
      <c r="DP21" s="987"/>
      <c r="DQ21" s="526">
        <f t="shared" si="28"/>
        <v>0</v>
      </c>
      <c r="DR21" s="508">
        <f>[1]Субсидия_факт!N19</f>
        <v>0</v>
      </c>
      <c r="DS21" s="652">
        <f>[1]Субсидия_факт!P19</f>
        <v>0</v>
      </c>
      <c r="DT21" s="682">
        <f>[1]Субсидия_факт!R19</f>
        <v>0</v>
      </c>
      <c r="DU21" s="506">
        <f>[1]Субсидия_факт!T19</f>
        <v>0</v>
      </c>
      <c r="DV21" s="689">
        <f>[1]Субсидия_факт!V19</f>
        <v>0</v>
      </c>
      <c r="DW21" s="506">
        <f>[1]Субсидия_факт!X19</f>
        <v>0</v>
      </c>
      <c r="DX21" s="521">
        <f t="shared" si="29"/>
        <v>0</v>
      </c>
      <c r="DY21" s="532"/>
      <c r="DZ21" s="531"/>
      <c r="EA21" s="686"/>
      <c r="EB21" s="531"/>
      <c r="EC21" s="686"/>
      <c r="ED21" s="531"/>
      <c r="EE21" s="498">
        <f t="shared" si="30"/>
        <v>0</v>
      </c>
      <c r="EF21" s="516">
        <f>[1]Субсидия_факт!BL19</f>
        <v>0</v>
      </c>
      <c r="EG21" s="838">
        <f>[1]Субсидия_факт!BN19</f>
        <v>0</v>
      </c>
      <c r="EH21" s="466">
        <f t="shared" si="31"/>
        <v>0</v>
      </c>
      <c r="EI21" s="772"/>
      <c r="EJ21" s="987"/>
      <c r="EK21" s="526">
        <f t="shared" si="32"/>
        <v>0</v>
      </c>
      <c r="EL21" s="525">
        <f>[1]Субсидия_факт!AF19</f>
        <v>0</v>
      </c>
      <c r="EM21" s="689">
        <f>[1]Субсидия_факт!AH19</f>
        <v>0</v>
      </c>
      <c r="EN21" s="506">
        <f>[1]Субсидия_факт!AJ19</f>
        <v>0</v>
      </c>
      <c r="EO21" s="866">
        <f>[1]Субсидия_факт!AL19</f>
        <v>0</v>
      </c>
      <c r="EP21" s="622">
        <f>[1]Субсидия_факт!AN19</f>
        <v>0</v>
      </c>
      <c r="EQ21" s="712">
        <f>[1]Субсидия_факт!AP19</f>
        <v>0</v>
      </c>
      <c r="ER21" s="521">
        <f t="shared" si="33"/>
        <v>0</v>
      </c>
      <c r="ES21" s="474"/>
      <c r="ET21" s="686"/>
      <c r="EU21" s="474"/>
      <c r="EV21" s="686"/>
      <c r="EW21" s="474"/>
      <c r="EX21" s="686"/>
      <c r="EY21" s="498">
        <f t="shared" si="34"/>
        <v>0</v>
      </c>
      <c r="EZ21" s="516">
        <f>[1]Субсидия_факт!AV19</f>
        <v>0</v>
      </c>
      <c r="FA21" s="752">
        <f>[1]Субсидия_факт!AX19</f>
        <v>0</v>
      </c>
      <c r="FB21" s="466">
        <f t="shared" si="35"/>
        <v>0</v>
      </c>
      <c r="FC21" s="772"/>
      <c r="FD21" s="678"/>
      <c r="FE21" s="498">
        <f t="shared" si="36"/>
        <v>0</v>
      </c>
      <c r="FF21" s="516">
        <f>[1]Субсидия_факт!BT19</f>
        <v>0</v>
      </c>
      <c r="FG21" s="838">
        <f>[1]Субсидия_факт!BV19</f>
        <v>0</v>
      </c>
      <c r="FH21" s="466">
        <f t="shared" si="37"/>
        <v>0</v>
      </c>
      <c r="FI21" s="772"/>
      <c r="FJ21" s="678"/>
      <c r="FK21" s="498">
        <f t="shared" si="38"/>
        <v>0</v>
      </c>
      <c r="FL21" s="516">
        <f>[1]Субсидия_факт!BP19</f>
        <v>0</v>
      </c>
      <c r="FM21" s="838">
        <f>[1]Субсидия_факт!BR19</f>
        <v>0</v>
      </c>
      <c r="FN21" s="466">
        <f t="shared" si="39"/>
        <v>0</v>
      </c>
      <c r="FO21" s="772"/>
      <c r="FP21" s="678"/>
      <c r="FQ21" s="498">
        <f t="shared" si="40"/>
        <v>0</v>
      </c>
      <c r="FR21" s="516">
        <f>[1]Субсидия_факт!IV19</f>
        <v>0</v>
      </c>
      <c r="FS21" s="838">
        <f>[1]Субсидия_факт!IX19</f>
        <v>0</v>
      </c>
      <c r="FT21" s="466">
        <f t="shared" si="41"/>
        <v>0</v>
      </c>
      <c r="FU21" s="772"/>
      <c r="FV21" s="678"/>
      <c r="FW21" s="498">
        <f t="shared" si="42"/>
        <v>0</v>
      </c>
      <c r="FX21" s="516">
        <f>[1]Субсидия_факт!IZ19</f>
        <v>0</v>
      </c>
      <c r="FY21" s="838">
        <f>[1]Субсидия_факт!JD19</f>
        <v>0</v>
      </c>
      <c r="FZ21" s="466">
        <f t="shared" si="43"/>
        <v>0</v>
      </c>
      <c r="GA21" s="772"/>
      <c r="GB21" s="678"/>
      <c r="GC21" s="667">
        <f t="shared" si="119"/>
        <v>0</v>
      </c>
      <c r="GD21" s="669">
        <f t="shared" si="120"/>
        <v>0</v>
      </c>
      <c r="GE21" s="667">
        <f t="shared" si="121"/>
        <v>0</v>
      </c>
      <c r="GF21" s="669">
        <f t="shared" si="122"/>
        <v>0</v>
      </c>
      <c r="GG21" s="498">
        <f t="shared" si="123"/>
        <v>0</v>
      </c>
      <c r="GH21" s="1251">
        <f>[1]Субсидия_факт!BH19</f>
        <v>0</v>
      </c>
      <c r="GI21" s="676">
        <f>[1]Субсидия_факт!BJ19</f>
        <v>0</v>
      </c>
      <c r="GJ21" s="498">
        <f t="shared" si="124"/>
        <v>0</v>
      </c>
      <c r="GK21" s="724"/>
      <c r="GL21" s="678"/>
      <c r="GM21" s="498">
        <f t="shared" si="44"/>
        <v>0</v>
      </c>
      <c r="GN21" s="516"/>
      <c r="GO21" s="838"/>
      <c r="GP21" s="466">
        <f t="shared" si="45"/>
        <v>0</v>
      </c>
      <c r="GQ21" s="724"/>
      <c r="GR21" s="678"/>
      <c r="GS21" s="498">
        <f t="shared" si="46"/>
        <v>404845</v>
      </c>
      <c r="GT21" s="516">
        <f>[1]Субсидия_факт!FZ19</f>
        <v>202297.75</v>
      </c>
      <c r="GU21" s="838">
        <f>[1]Субсидия_факт!GD19</f>
        <v>202547.25</v>
      </c>
      <c r="GV21" s="466">
        <f t="shared" si="47"/>
        <v>0</v>
      </c>
      <c r="GW21" s="724"/>
      <c r="GX21" s="678"/>
      <c r="GY21" s="667">
        <f t="shared" si="48"/>
        <v>404845</v>
      </c>
      <c r="GZ21" s="516">
        <f t="shared" si="125"/>
        <v>202297.75</v>
      </c>
      <c r="HA21" s="838">
        <f t="shared" si="125"/>
        <v>202547.25</v>
      </c>
      <c r="HB21" s="669">
        <f t="shared" si="49"/>
        <v>0</v>
      </c>
      <c r="HC21" s="516">
        <f t="shared" si="125"/>
        <v>0</v>
      </c>
      <c r="HD21" s="838">
        <f t="shared" si="125"/>
        <v>0</v>
      </c>
      <c r="HE21" s="667">
        <f t="shared" si="50"/>
        <v>0</v>
      </c>
      <c r="HF21" s="516">
        <f>[1]Субсидия_факт!GB19</f>
        <v>0</v>
      </c>
      <c r="HG21" s="838">
        <f>[1]Субсидия_факт!GF19</f>
        <v>0</v>
      </c>
      <c r="HH21" s="669">
        <f t="shared" si="51"/>
        <v>0</v>
      </c>
      <c r="HI21" s="724"/>
      <c r="HJ21" s="678"/>
      <c r="HK21" s="526">
        <f t="shared" si="126"/>
        <v>0</v>
      </c>
      <c r="HL21" s="518">
        <f>[1]Субсидия_факт!DD19</f>
        <v>0</v>
      </c>
      <c r="HM21" s="752">
        <f>[1]Субсидия_факт!DF19</f>
        <v>0</v>
      </c>
      <c r="HN21" s="521">
        <f t="shared" si="127"/>
        <v>0</v>
      </c>
      <c r="HO21" s="531"/>
      <c r="HP21" s="706"/>
      <c r="HQ21" s="579">
        <f t="shared" si="54"/>
        <v>197559.1</v>
      </c>
      <c r="HR21" s="516">
        <f>[1]Субсидия_факт!CR19</f>
        <v>55316.550000000017</v>
      </c>
      <c r="HS21" s="838">
        <f>[1]Субсидия_факт!CX19</f>
        <v>142242.54999999999</v>
      </c>
      <c r="HT21" s="466">
        <f t="shared" si="55"/>
        <v>197559.1</v>
      </c>
      <c r="HU21" s="1251">
        <f t="shared" ref="HU21:HV23" si="211">HR21</f>
        <v>55316.550000000017</v>
      </c>
      <c r="HV21" s="1519">
        <f t="shared" si="211"/>
        <v>142242.54999999999</v>
      </c>
      <c r="HW21" s="466">
        <f t="shared" si="56"/>
        <v>377661.00999999995</v>
      </c>
      <c r="HX21" s="516">
        <f>[1]Субсидия_факт!CT19</f>
        <v>105745.09999999992</v>
      </c>
      <c r="HY21" s="752">
        <f>[1]Субсидия_факт!CZ19</f>
        <v>271915.91000000003</v>
      </c>
      <c r="HZ21" s="466">
        <f t="shared" si="57"/>
        <v>377661.01</v>
      </c>
      <c r="IA21" s="757">
        <f t="shared" si="128"/>
        <v>105745.09999999998</v>
      </c>
      <c r="IB21" s="789">
        <f t="shared" si="129"/>
        <v>271915.91000000003</v>
      </c>
      <c r="IC21" s="625">
        <v>161061.65</v>
      </c>
      <c r="ID21" s="709">
        <v>414158.46</v>
      </c>
      <c r="IE21" s="669">
        <f t="shared" si="58"/>
        <v>377661.00999999995</v>
      </c>
      <c r="IF21" s="750">
        <f>'Проверочная  таблица'!HX21-'Проверочная  таблица'!IL21</f>
        <v>105745.09999999992</v>
      </c>
      <c r="IG21" s="676">
        <f>'Проверочная  таблица'!HY21-'Проверочная  таблица'!IM21</f>
        <v>271915.91000000003</v>
      </c>
      <c r="IH21" s="663">
        <f t="shared" si="59"/>
        <v>377661.01</v>
      </c>
      <c r="II21" s="757">
        <f>'Проверочная  таблица'!IA21-'Проверочная  таблица'!IO21</f>
        <v>105745.09999999998</v>
      </c>
      <c r="IJ21" s="768">
        <f>'Проверочная  таблица'!IB21-'Проверочная  таблица'!IP21</f>
        <v>271915.91000000003</v>
      </c>
      <c r="IK21" s="669">
        <f t="shared" si="60"/>
        <v>0</v>
      </c>
      <c r="IL21" s="516">
        <f>[1]Субсидия_факт!CV19</f>
        <v>0</v>
      </c>
      <c r="IM21" s="838">
        <f>[1]Субсидия_факт!DB19</f>
        <v>0</v>
      </c>
      <c r="IN21" s="669">
        <f t="shared" si="61"/>
        <v>0</v>
      </c>
      <c r="IO21" s="724"/>
      <c r="IP21" s="678"/>
      <c r="IQ21" s="466">
        <f t="shared" si="130"/>
        <v>29422040</v>
      </c>
      <c r="IR21" s="757">
        <f>[1]Субсидия_факт!CJ19</f>
        <v>0</v>
      </c>
      <c r="IS21" s="676">
        <f>[1]Субсидия_факт!CN19</f>
        <v>0</v>
      </c>
      <c r="IT21" s="757">
        <f>[1]Субсидия_факт!DH19</f>
        <v>0</v>
      </c>
      <c r="IU21" s="676">
        <f>[1]Субсидия_факт!DN19</f>
        <v>0</v>
      </c>
      <c r="IV21" s="525">
        <f>[1]Субсидия_факт!DX19</f>
        <v>6762571.2000000002</v>
      </c>
      <c r="IW21" s="689">
        <f>[1]Субсидия_факт!DZ19</f>
        <v>17389468.800000001</v>
      </c>
      <c r="IX21" s="1295">
        <f>[1]Субсидия_факт!DT19</f>
        <v>269612.63</v>
      </c>
      <c r="IY21" s="676">
        <f>[1]Субсидия_факт!DV19</f>
        <v>5000387.37</v>
      </c>
      <c r="IZ21" s="516">
        <f>[1]Субсидия_факт!EB19</f>
        <v>0</v>
      </c>
      <c r="JA21" s="466">
        <f t="shared" si="131"/>
        <v>12736028.940000001</v>
      </c>
      <c r="JB21" s="625"/>
      <c r="JC21" s="678"/>
      <c r="JD21" s="625"/>
      <c r="JE21" s="678"/>
      <c r="JF21" s="531">
        <v>2117604.35</v>
      </c>
      <c r="JG21" s="706">
        <v>5445268.3300000001</v>
      </c>
      <c r="JH21" s="625">
        <v>264658.11</v>
      </c>
      <c r="JI21" s="678">
        <v>4908498.1500000004</v>
      </c>
      <c r="JJ21" s="757">
        <f t="shared" si="132"/>
        <v>0</v>
      </c>
      <c r="JK21" s="748">
        <f t="shared" si="133"/>
        <v>0</v>
      </c>
      <c r="JL21" s="757">
        <f>[1]Субсидия_факт!CL19</f>
        <v>0</v>
      </c>
      <c r="JM21" s="676">
        <f>[1]Субсидия_факт!CP19</f>
        <v>0</v>
      </c>
      <c r="JN21" s="757">
        <f>[1]Субсидия_факт!DJ19</f>
        <v>0</v>
      </c>
      <c r="JO21" s="676">
        <f>[1]Субсидия_факт!DP19</f>
        <v>0</v>
      </c>
      <c r="JP21" s="748">
        <f t="shared" si="134"/>
        <v>0</v>
      </c>
      <c r="JQ21" s="625"/>
      <c r="JR21" s="678"/>
      <c r="JS21" s="625"/>
      <c r="JT21" s="678"/>
      <c r="JU21" s="587">
        <f t="shared" si="135"/>
        <v>0</v>
      </c>
      <c r="JV21" s="757">
        <f>'Проверочная  таблица'!JL21-KF21</f>
        <v>0</v>
      </c>
      <c r="JW21" s="676">
        <f>'Проверочная  таблица'!JM21-KG21</f>
        <v>0</v>
      </c>
      <c r="JX21" s="757">
        <f>'Проверочная  таблица'!JN21-KH21</f>
        <v>0</v>
      </c>
      <c r="JY21" s="676">
        <f>'Проверочная  таблица'!JO21-KI21</f>
        <v>0</v>
      </c>
      <c r="JZ21" s="587">
        <f t="shared" si="136"/>
        <v>0</v>
      </c>
      <c r="KA21" s="757">
        <f>'Проверочная  таблица'!JQ21-KK21</f>
        <v>0</v>
      </c>
      <c r="KB21" s="676">
        <f>'Проверочная  таблица'!JR21-KL21</f>
        <v>0</v>
      </c>
      <c r="KC21" s="757">
        <f>'Проверочная  таблица'!JS21-KM21</f>
        <v>0</v>
      </c>
      <c r="KD21" s="789">
        <f>'Проверочная  таблица'!JT21-KN21</f>
        <v>0</v>
      </c>
      <c r="KE21" s="587">
        <f t="shared" si="137"/>
        <v>0</v>
      </c>
      <c r="KF21" s="625"/>
      <c r="KG21" s="678"/>
      <c r="KH21" s="757">
        <f>[1]Субсидия_факт!DL19</f>
        <v>0</v>
      </c>
      <c r="KI21" s="1519">
        <f>[1]Субсидия_факт!DR19</f>
        <v>0</v>
      </c>
      <c r="KJ21" s="587">
        <f t="shared" si="138"/>
        <v>0</v>
      </c>
      <c r="KK21" s="753"/>
      <c r="KL21" s="678"/>
      <c r="KM21" s="625"/>
      <c r="KN21" s="678"/>
      <c r="KO21" s="579">
        <f t="shared" si="139"/>
        <v>0</v>
      </c>
      <c r="KP21" s="516">
        <f>[1]Субсидия_факт!BX19</f>
        <v>0</v>
      </c>
      <c r="KQ21" s="838">
        <f>[1]Субсидия_факт!BZ19</f>
        <v>0</v>
      </c>
      <c r="KR21" s="516">
        <f>[1]Субсидия_факт!CB19</f>
        <v>0</v>
      </c>
      <c r="KS21" s="466">
        <f t="shared" si="140"/>
        <v>0</v>
      </c>
      <c r="KT21" s="625"/>
      <c r="KU21" s="678"/>
      <c r="KV21" s="625"/>
      <c r="KW21" s="498">
        <f t="shared" si="62"/>
        <v>0</v>
      </c>
      <c r="KX21" s="508">
        <f>[1]Субсидия_факт!GN19</f>
        <v>0</v>
      </c>
      <c r="KY21" s="466">
        <f t="shared" si="63"/>
        <v>0</v>
      </c>
      <c r="KZ21" s="625"/>
      <c r="LA21" s="754">
        <f t="shared" si="206"/>
        <v>0</v>
      </c>
      <c r="LB21" s="516">
        <f>[1]Субсидия_факт!JT19</f>
        <v>0</v>
      </c>
      <c r="LC21" s="838">
        <f>[1]Субсидия_факт!JZ19</f>
        <v>0</v>
      </c>
      <c r="LD21" s="508"/>
      <c r="LE21" s="754">
        <f t="shared" si="207"/>
        <v>0</v>
      </c>
      <c r="LF21" s="772"/>
      <c r="LG21" s="678"/>
      <c r="LH21" s="625"/>
      <c r="LI21" s="754">
        <f t="shared" si="141"/>
        <v>0</v>
      </c>
      <c r="LJ21" s="516">
        <f>[1]Субсидия_факт!JV19</f>
        <v>0</v>
      </c>
      <c r="LK21" s="838">
        <f>[1]Субсидия_факт!KB19</f>
        <v>0</v>
      </c>
      <c r="LL21" s="518">
        <f>[1]Субсидия_факт!KF19</f>
        <v>0</v>
      </c>
      <c r="LM21" s="754">
        <f t="shared" si="142"/>
        <v>0</v>
      </c>
      <c r="LN21" s="625"/>
      <c r="LO21" s="771"/>
      <c r="LP21" s="625"/>
      <c r="LQ21" s="756">
        <f t="shared" si="143"/>
        <v>0</v>
      </c>
      <c r="LR21" s="652">
        <f>'Проверочная  таблица'!LJ21-LZ21</f>
        <v>0</v>
      </c>
      <c r="LS21" s="682">
        <f>'Проверочная  таблица'!LK21-MA21</f>
        <v>0</v>
      </c>
      <c r="LT21" s="622">
        <f>'Проверочная  таблица'!LL21-MB21</f>
        <v>0</v>
      </c>
      <c r="LU21" s="756">
        <f t="shared" si="144"/>
        <v>0</v>
      </c>
      <c r="LV21" s="750">
        <f>'Проверочная  таблица'!LN21-MD21</f>
        <v>0</v>
      </c>
      <c r="LW21" s="676">
        <f>'Проверочная  таблица'!LO21-ME21</f>
        <v>0</v>
      </c>
      <c r="LX21" s="757">
        <f>'Проверочная  таблица'!LP21-MF21</f>
        <v>0</v>
      </c>
      <c r="LY21" s="756">
        <f t="shared" si="145"/>
        <v>0</v>
      </c>
      <c r="LZ21" s="516">
        <f>[1]Субсидия_факт!JX19</f>
        <v>0</v>
      </c>
      <c r="MA21" s="838">
        <f>[1]Субсидия_факт!KD19</f>
        <v>0</v>
      </c>
      <c r="MB21" s="516">
        <f>[1]Субсидия_факт!KH19</f>
        <v>0</v>
      </c>
      <c r="MC21" s="756">
        <f t="shared" si="146"/>
        <v>0</v>
      </c>
      <c r="MD21" s="750">
        <f t="shared" si="203"/>
        <v>0</v>
      </c>
      <c r="ME21" s="676">
        <f t="shared" si="204"/>
        <v>0</v>
      </c>
      <c r="MF21" s="516"/>
      <c r="MG21" s="521">
        <f t="shared" si="147"/>
        <v>759904.40999999992</v>
      </c>
      <c r="MH21" s="652">
        <f>[1]Субсидия_факт!KR19</f>
        <v>37995.22</v>
      </c>
      <c r="MI21" s="682">
        <f>[1]Субсидия_факт!KV19</f>
        <v>721909.19</v>
      </c>
      <c r="MJ21" s="750">
        <f>[1]Субсидия_факт!KZ19</f>
        <v>0</v>
      </c>
      <c r="MK21" s="1519">
        <f>[1]Субсидия_факт!LD19</f>
        <v>0</v>
      </c>
      <c r="ML21" s="521">
        <f t="shared" si="148"/>
        <v>751522.64</v>
      </c>
      <c r="MM21" s="1609">
        <v>37576.129999999997</v>
      </c>
      <c r="MN21" s="706">
        <v>713946.51</v>
      </c>
      <c r="MO21" s="342"/>
      <c r="MP21" s="770"/>
      <c r="MQ21" s="587">
        <f t="shared" si="149"/>
        <v>759904.40999999992</v>
      </c>
      <c r="MR21" s="1613">
        <f t="shared" si="64"/>
        <v>37995.22</v>
      </c>
      <c r="MS21" s="682">
        <f t="shared" si="65"/>
        <v>721909.19</v>
      </c>
      <c r="MT21" s="487">
        <f t="shared" si="66"/>
        <v>0</v>
      </c>
      <c r="MU21" s="682">
        <f t="shared" si="67"/>
        <v>0</v>
      </c>
      <c r="MV21" s="587">
        <f t="shared" si="150"/>
        <v>751522.64</v>
      </c>
      <c r="MW21" s="487">
        <f t="shared" si="68"/>
        <v>37576.129999999997</v>
      </c>
      <c r="MX21" s="682">
        <f t="shared" si="69"/>
        <v>713946.51</v>
      </c>
      <c r="MY21" s="487">
        <f t="shared" si="70"/>
        <v>0</v>
      </c>
      <c r="MZ21" s="682">
        <f t="shared" si="71"/>
        <v>0</v>
      </c>
      <c r="NA21" s="587">
        <f t="shared" si="151"/>
        <v>0</v>
      </c>
      <c r="NB21" s="1079">
        <f>[1]Субсидия_факт!KT19</f>
        <v>0</v>
      </c>
      <c r="NC21" s="682">
        <f>[1]Субсидия_факт!KX19</f>
        <v>0</v>
      </c>
      <c r="ND21" s="625">
        <f>[1]Субсидия_факт!LB19</f>
        <v>0</v>
      </c>
      <c r="NE21" s="709">
        <f>[1]Субсидия_факт!LF19</f>
        <v>0</v>
      </c>
      <c r="NF21" s="587">
        <f t="shared" si="152"/>
        <v>0</v>
      </c>
      <c r="NG21" s="487"/>
      <c r="NH21" s="712"/>
      <c r="NI21" s="342"/>
      <c r="NJ21" s="706"/>
      <c r="NK21" s="498">
        <f t="shared" si="72"/>
        <v>0</v>
      </c>
      <c r="NL21" s="516">
        <f>[1]Субсидия_факт!AB19</f>
        <v>0</v>
      </c>
      <c r="NM21" s="838">
        <f>[1]Субсидия_факт!AD19</f>
        <v>0</v>
      </c>
      <c r="NN21" s="466">
        <f t="shared" si="73"/>
        <v>0</v>
      </c>
      <c r="NO21" s="772"/>
      <c r="NP21" s="987"/>
      <c r="NQ21" s="521">
        <f t="shared" si="153"/>
        <v>0</v>
      </c>
      <c r="NR21" s="506">
        <f>[1]Субсидия_факт!LH19</f>
        <v>0</v>
      </c>
      <c r="NS21" s="866">
        <f>[1]Субсидия_факт!LJ19</f>
        <v>0</v>
      </c>
      <c r="NT21" s="525">
        <f>[1]Субсидия_факт!MN19</f>
        <v>0</v>
      </c>
      <c r="NU21" s="689">
        <f>[1]Субсидия_факт!MP19</f>
        <v>0</v>
      </c>
      <c r="NV21" s="1147">
        <f>[1]Субсидия_факт!MB19</f>
        <v>0</v>
      </c>
      <c r="NW21" s="682">
        <f>[1]Субсидия_факт!MH19</f>
        <v>0</v>
      </c>
      <c r="NX21" s="521">
        <f t="shared" si="154"/>
        <v>0</v>
      </c>
      <c r="NY21" s="474"/>
      <c r="NZ21" s="686"/>
      <c r="OA21" s="474"/>
      <c r="OB21" s="686"/>
      <c r="OC21" s="342"/>
      <c r="OD21" s="1279"/>
      <c r="OE21" s="521">
        <f t="shared" si="155"/>
        <v>0</v>
      </c>
      <c r="OF21" s="652">
        <f>[1]Субсидия_факт!KJ19</f>
        <v>0</v>
      </c>
      <c r="OG21" s="682">
        <f>[1]Субсидия_факт!KN19</f>
        <v>0</v>
      </c>
      <c r="OH21" s="652">
        <f>[1]Субсидия_факт!LL19</f>
        <v>0</v>
      </c>
      <c r="OI21" s="682">
        <f>[1]Субсидия_факт!LP19</f>
        <v>0</v>
      </c>
      <c r="OJ21" s="652">
        <f>[1]Субсидия_факт!MD19</f>
        <v>0</v>
      </c>
      <c r="OK21" s="682">
        <f>[1]Субсидия_факт!MJ19</f>
        <v>0</v>
      </c>
      <c r="OL21" s="521">
        <f t="shared" si="156"/>
        <v>0</v>
      </c>
      <c r="OM21" s="487"/>
      <c r="ON21" s="712"/>
      <c r="OO21" s="474"/>
      <c r="OP21" s="686"/>
      <c r="OQ21" s="487"/>
      <c r="OR21" s="712"/>
      <c r="OS21" s="587">
        <f t="shared" si="157"/>
        <v>0</v>
      </c>
      <c r="OT21" s="1066">
        <f t="shared" si="74"/>
        <v>0</v>
      </c>
      <c r="OU21" s="682">
        <f t="shared" si="75"/>
        <v>0</v>
      </c>
      <c r="OV21" s="1066">
        <f t="shared" si="76"/>
        <v>0</v>
      </c>
      <c r="OW21" s="682">
        <f t="shared" si="77"/>
        <v>0</v>
      </c>
      <c r="OX21" s="1147">
        <f t="shared" si="78"/>
        <v>0</v>
      </c>
      <c r="OY21" s="682">
        <f t="shared" si="79"/>
        <v>0</v>
      </c>
      <c r="OZ21" s="587">
        <f t="shared" si="158"/>
        <v>0</v>
      </c>
      <c r="PA21" s="1066">
        <f t="shared" si="80"/>
        <v>0</v>
      </c>
      <c r="PB21" s="682">
        <f t="shared" si="81"/>
        <v>0</v>
      </c>
      <c r="PC21" s="1066">
        <f t="shared" si="82"/>
        <v>0</v>
      </c>
      <c r="PD21" s="682">
        <f t="shared" si="83"/>
        <v>0</v>
      </c>
      <c r="PE21" s="1147">
        <f t="shared" si="84"/>
        <v>0</v>
      </c>
      <c r="PF21" s="682">
        <f t="shared" si="85"/>
        <v>0</v>
      </c>
      <c r="PG21" s="587">
        <f t="shared" si="159"/>
        <v>0</v>
      </c>
      <c r="PH21" s="1079">
        <f>[1]Субсидия_факт!KL19</f>
        <v>0</v>
      </c>
      <c r="PI21" s="682">
        <f>[1]Субсидия_факт!KP19</f>
        <v>0</v>
      </c>
      <c r="PJ21" s="652">
        <f>[1]Субсидия_факт!LN19</f>
        <v>0</v>
      </c>
      <c r="PK21" s="682">
        <f>[1]Субсидия_факт!LR19</f>
        <v>0</v>
      </c>
      <c r="PL21" s="652">
        <f>[1]Субсидия_факт!MF19</f>
        <v>0</v>
      </c>
      <c r="PM21" s="682">
        <f>[1]Субсидия_факт!ML19</f>
        <v>0</v>
      </c>
      <c r="PN21" s="587">
        <f t="shared" si="160"/>
        <v>0</v>
      </c>
      <c r="PO21" s="487"/>
      <c r="PP21" s="712"/>
      <c r="PQ21" s="474"/>
      <c r="PR21" s="686"/>
      <c r="PS21" s="487"/>
      <c r="PT21" s="712"/>
      <c r="PU21" s="466">
        <f t="shared" si="161"/>
        <v>0</v>
      </c>
      <c r="PV21" s="516">
        <f>[1]Субсидия_факт!MR19</f>
        <v>0</v>
      </c>
      <c r="PW21" s="838">
        <f>[1]Субсидия_факт!MX19</f>
        <v>0</v>
      </c>
      <c r="PX21" s="466">
        <f t="shared" si="162"/>
        <v>0</v>
      </c>
      <c r="PY21" s="724"/>
      <c r="PZ21" s="678"/>
      <c r="QA21" s="579">
        <f t="shared" si="163"/>
        <v>0</v>
      </c>
      <c r="QB21" s="516">
        <f>[1]Субсидия_факт!MT19</f>
        <v>0</v>
      </c>
      <c r="QC21" s="838">
        <f>[1]Субсидия_факт!MZ19</f>
        <v>0</v>
      </c>
      <c r="QD21" s="466">
        <f t="shared" si="164"/>
        <v>0</v>
      </c>
      <c r="QE21" s="724"/>
      <c r="QF21" s="987"/>
      <c r="QG21" s="669">
        <f t="shared" si="165"/>
        <v>0</v>
      </c>
      <c r="QH21" s="516">
        <f t="shared" si="166"/>
        <v>0</v>
      </c>
      <c r="QI21" s="838">
        <f t="shared" si="167"/>
        <v>0</v>
      </c>
      <c r="QJ21" s="669">
        <f t="shared" si="168"/>
        <v>0</v>
      </c>
      <c r="QK21" s="516">
        <f t="shared" si="169"/>
        <v>0</v>
      </c>
      <c r="QL21" s="838">
        <f t="shared" si="170"/>
        <v>0</v>
      </c>
      <c r="QM21" s="669">
        <f t="shared" si="171"/>
        <v>0</v>
      </c>
      <c r="QN21" s="516">
        <f>[1]Субсидия_факт!MV19</f>
        <v>0</v>
      </c>
      <c r="QO21" s="838">
        <f>[1]Субсидия_факт!NB19</f>
        <v>0</v>
      </c>
      <c r="QP21" s="669">
        <f t="shared" si="172"/>
        <v>0</v>
      </c>
      <c r="QQ21" s="516">
        <f>[1]Субсидия_факт!NI19</f>
        <v>0</v>
      </c>
      <c r="QR21" s="752">
        <f>[1]Субсидия_факт!NO19</f>
        <v>0</v>
      </c>
      <c r="QS21" s="521">
        <f>'Прочая  субсидия_МР  и  ГО'!B17</f>
        <v>7811693.7000000002</v>
      </c>
      <c r="QT21" s="521">
        <f>'Прочая  субсидия_МР  и  ГО'!C17</f>
        <v>5102311.5500000007</v>
      </c>
      <c r="QU21" s="524">
        <f>'Прочая  субсидия_БП'!B17</f>
        <v>4907918.9000000004</v>
      </c>
      <c r="QV21" s="526">
        <f>'Прочая  субсидия_БП'!C17</f>
        <v>1240744.58</v>
      </c>
      <c r="QW21" s="583">
        <f>'Прочая  субсидия_БП'!D17</f>
        <v>4907918.9000000004</v>
      </c>
      <c r="QX21" s="582">
        <f>'Прочая  субсидия_БП'!E17</f>
        <v>1240744.58</v>
      </c>
      <c r="QY21" s="588">
        <f>'Прочая  субсидия_БП'!F17</f>
        <v>0</v>
      </c>
      <c r="QZ21" s="583">
        <f>'Прочая  субсидия_БП'!G17</f>
        <v>0</v>
      </c>
      <c r="RA21" s="526">
        <f t="shared" si="173"/>
        <v>187520949.17000002</v>
      </c>
      <c r="RB21" s="525">
        <f>'Проверочная  таблица'!SF21+'Проверочная  таблица'!RG21+'Проверочная  таблица'!RI21+'Проверочная  таблица'!RK21+RX21</f>
        <v>181900045.46000001</v>
      </c>
      <c r="RC21" s="508">
        <f>'Проверочная  таблица'!SG21+'Проверочная  таблица'!RM21+'Проверочная  таблица'!RS21+'Проверочная  таблица'!RO21+'Проверочная  таблица'!RQ21+RU21+RY21+SC21</f>
        <v>5620903.71</v>
      </c>
      <c r="RD21" s="521">
        <f t="shared" si="174"/>
        <v>134676740.09</v>
      </c>
      <c r="RE21" s="506">
        <f>'Проверочная  таблица'!SI21+'Проверочная  таблица'!RH21+'Проверочная  таблица'!RJ21+'Проверочная  таблица'!RL21+SA21</f>
        <v>131908991.15000001</v>
      </c>
      <c r="RF21" s="508">
        <f>'Проверочная  таблица'!SJ21+'Проверочная  таблица'!RN21+'Проверочная  таблица'!RT21+'Проверочная  таблица'!RP21+'Проверочная  таблица'!RR21+RV21+SB21+SD21</f>
        <v>2767748.94</v>
      </c>
      <c r="RG21" s="579">
        <f>'Субвенция  на  полномочия'!B17</f>
        <v>170615301.40000001</v>
      </c>
      <c r="RH21" s="466">
        <f>'Субвенция  на  полномочия'!C17</f>
        <v>123391927.5</v>
      </c>
      <c r="RI21" s="733">
        <f>[1]Субвенция_факт!Q18*1000</f>
        <v>7679620.0000000009</v>
      </c>
      <c r="RJ21" s="736">
        <v>6500000</v>
      </c>
      <c r="RK21" s="733">
        <f>[1]Субвенция_факт!J18*1000</f>
        <v>1512958</v>
      </c>
      <c r="RL21" s="736">
        <v>830000</v>
      </c>
      <c r="RM21" s="733">
        <f>[1]Субвенция_факт!AE18*1000</f>
        <v>747800</v>
      </c>
      <c r="RN21" s="736">
        <v>514873.15</v>
      </c>
      <c r="RO21" s="733">
        <f>[1]Субвенция_факт!AF18*1000</f>
        <v>0</v>
      </c>
      <c r="RP21" s="736">
        <v>0</v>
      </c>
      <c r="RQ21" s="733">
        <f>[1]Субвенция_факт!E18*1000</f>
        <v>0</v>
      </c>
      <c r="RR21" s="736"/>
      <c r="RS21" s="733">
        <f>[1]Субвенция_факт!F18*1000</f>
        <v>0</v>
      </c>
      <c r="RT21" s="827"/>
      <c r="RU21" s="170">
        <f>[1]Субвенция_факт!G18*1000</f>
        <v>0</v>
      </c>
      <c r="RV21" s="1109"/>
      <c r="RW21" s="521">
        <f t="shared" si="88"/>
        <v>4842825.2300000004</v>
      </c>
      <c r="RX21" s="622">
        <f>[1]Субвенция_факт!N18*1000</f>
        <v>1355991.06</v>
      </c>
      <c r="RY21" s="682">
        <f>[1]Субвенция_факт!O18*1000</f>
        <v>3486834.17</v>
      </c>
      <c r="RZ21" s="521">
        <f t="shared" si="89"/>
        <v>1990941.58</v>
      </c>
      <c r="SA21" s="773">
        <v>557463.65</v>
      </c>
      <c r="SB21" s="1279">
        <v>1433477.93</v>
      </c>
      <c r="SC21" s="170">
        <f>[1]Субвенция_факт!AG18*1000</f>
        <v>213269.54</v>
      </c>
      <c r="SD21" s="1277"/>
      <c r="SE21" s="498">
        <f t="shared" si="175"/>
        <v>1909175</v>
      </c>
      <c r="SF21" s="833">
        <f>[1]Субвенция_факт!AD18*1000</f>
        <v>736175</v>
      </c>
      <c r="SG21" s="1562">
        <f>[1]Субвенция_факт!AC18*1000</f>
        <v>1173000</v>
      </c>
      <c r="SH21" s="521">
        <f t="shared" si="176"/>
        <v>1448997.8599999999</v>
      </c>
      <c r="SI21" s="1557">
        <v>629600</v>
      </c>
      <c r="SJ21" s="1635">
        <v>819397.86</v>
      </c>
      <c r="SK21" s="280">
        <f>'Проверочная  таблица'!VC21+'Проверочная  таблица'!UO21+'Проверочная  таблица'!SY21+'Проверочная  таблица'!TC21+UA21+UG21+TK21+TQ21+SM21+SS21</f>
        <v>13171243.189999999</v>
      </c>
      <c r="SL21" s="170">
        <f>'Проверочная  таблица'!VF21+'Проверочная  таблица'!UV21+'Проверочная  таблица'!TA21+'Проверочная  таблица'!TE21+UD21+UK21+TN21+TT21+SP21+SV21</f>
        <v>8336714.1100000003</v>
      </c>
      <c r="SM21" s="524">
        <f t="shared" si="92"/>
        <v>6327720</v>
      </c>
      <c r="SN21" s="833">
        <f>'[1]Иные межбюджетные трансферты'!I19</f>
        <v>0</v>
      </c>
      <c r="SO21" s="880">
        <f>'[1]Иные межбюджетные трансферты'!K19</f>
        <v>6327720</v>
      </c>
      <c r="SP21" s="521">
        <f t="shared" si="93"/>
        <v>4161939.11</v>
      </c>
      <c r="SQ21" s="1421"/>
      <c r="SR21" s="1422">
        <v>4161939.11</v>
      </c>
      <c r="SS21" s="521">
        <f t="shared" si="177"/>
        <v>0</v>
      </c>
      <c r="ST21" s="1082">
        <f>'[1]Иные межбюджетные трансферты'!Y19</f>
        <v>0</v>
      </c>
      <c r="SU21" s="1630">
        <f>'[1]Иные межбюджетные трансферты'!AE19</f>
        <v>0</v>
      </c>
      <c r="SV21" s="521">
        <f t="shared" si="178"/>
        <v>0</v>
      </c>
      <c r="SW21" s="906"/>
      <c r="SX21" s="1422"/>
      <c r="SY21" s="1254">
        <f t="shared" si="94"/>
        <v>0</v>
      </c>
      <c r="SZ21" s="1009">
        <f>'[1]Иные межбюджетные трансферты'!AG19</f>
        <v>0</v>
      </c>
      <c r="TA21" s="899">
        <f t="shared" si="95"/>
        <v>0</v>
      </c>
      <c r="TB21" s="1422"/>
      <c r="TC21" s="903">
        <f t="shared" si="96"/>
        <v>0</v>
      </c>
      <c r="TD21" s="1009">
        <f>'[1]Иные межбюджетные трансферты'!AI19</f>
        <v>0</v>
      </c>
      <c r="TE21" s="899">
        <f t="shared" si="97"/>
        <v>0</v>
      </c>
      <c r="TF21" s="1082"/>
      <c r="TG21" s="901">
        <f t="shared" si="98"/>
        <v>0</v>
      </c>
      <c r="TH21" s="897">
        <f t="shared" si="99"/>
        <v>0</v>
      </c>
      <c r="TI21" s="1086">
        <f t="shared" si="179"/>
        <v>0</v>
      </c>
      <c r="TJ21" s="897">
        <f t="shared" si="180"/>
        <v>0</v>
      </c>
      <c r="TK21" s="903">
        <f t="shared" si="181"/>
        <v>0</v>
      </c>
      <c r="TL21" s="1079"/>
      <c r="TM21" s="682"/>
      <c r="TN21" s="903">
        <f t="shared" si="182"/>
        <v>0</v>
      </c>
      <c r="TO21" s="773"/>
      <c r="TP21" s="686"/>
      <c r="TQ21" s="903">
        <f t="shared" si="183"/>
        <v>0</v>
      </c>
      <c r="TR21" s="1079">
        <f>'[1]Иные межбюджетные трансферты'!AQ19</f>
        <v>0</v>
      </c>
      <c r="TS21" s="682">
        <f>'[1]Иные межбюджетные трансферты'!AU19</f>
        <v>0</v>
      </c>
      <c r="TT21" s="899">
        <f t="shared" si="184"/>
        <v>0</v>
      </c>
      <c r="TU21" s="753"/>
      <c r="TV21" s="771"/>
      <c r="TW21" s="820">
        <f t="shared" si="185"/>
        <v>0</v>
      </c>
      <c r="TX21" s="820">
        <f t="shared" si="186"/>
        <v>0</v>
      </c>
      <c r="TY21" s="820">
        <f t="shared" si="187"/>
        <v>0</v>
      </c>
      <c r="TZ21" s="1199">
        <f t="shared" si="188"/>
        <v>0</v>
      </c>
      <c r="UA21" s="1134">
        <f t="shared" si="100"/>
        <v>0</v>
      </c>
      <c r="UB21" s="945">
        <f>'[1]Иные межбюджетные трансферты'!U19</f>
        <v>0</v>
      </c>
      <c r="UC21" s="1133">
        <f>'[1]Иные межбюджетные трансферты'!W19</f>
        <v>0</v>
      </c>
      <c r="UD21" s="734">
        <f t="shared" si="101"/>
        <v>0</v>
      </c>
      <c r="UE21" s="945"/>
      <c r="UF21" s="1133"/>
      <c r="UG21" s="734">
        <f t="shared" si="189"/>
        <v>0</v>
      </c>
      <c r="UH21" s="945">
        <f>'[1]Иные межбюджетные трансферты'!O19</f>
        <v>0</v>
      </c>
      <c r="UI21" s="1133">
        <f>'[1]Иные межбюджетные трансферты'!Q19</f>
        <v>0</v>
      </c>
      <c r="UJ21" s="1133">
        <f>'[1]Иные межбюджетные трансферты'!S19</f>
        <v>0</v>
      </c>
      <c r="UK21" s="734">
        <f t="shared" si="190"/>
        <v>0</v>
      </c>
      <c r="UL21" s="1513"/>
      <c r="UM21" s="1426"/>
      <c r="UN21" s="1624"/>
      <c r="UO21" s="1585">
        <f t="shared" si="191"/>
        <v>2495974.9299999997</v>
      </c>
      <c r="UP21" s="833">
        <f>'[1]Иные межбюджетные трансферты'!E19</f>
        <v>0</v>
      </c>
      <c r="UQ21" s="880">
        <f>'[1]Иные межбюджетные трансферты'!G19</f>
        <v>0</v>
      </c>
      <c r="UR21" s="830">
        <f>'[1]Иные межбюджетные трансферты'!M19</f>
        <v>2095860.9999999998</v>
      </c>
      <c r="US21" s="1044"/>
      <c r="UT21" s="1498">
        <f>'[1]Иные межбюджетные трансферты'!AY19</f>
        <v>0</v>
      </c>
      <c r="UU21" s="1539">
        <f>'[1]Иные межбюджетные трансферты'!BA19</f>
        <v>400113.93</v>
      </c>
      <c r="UV21" s="834">
        <f t="shared" si="192"/>
        <v>400113.93</v>
      </c>
      <c r="UW21" s="908"/>
      <c r="UX21" s="906"/>
      <c r="UY21" s="1425">
        <v>0</v>
      </c>
      <c r="UZ21" s="516"/>
      <c r="VA21" s="518">
        <f t="shared" si="102"/>
        <v>0</v>
      </c>
      <c r="VB21" s="516">
        <f t="shared" si="193"/>
        <v>400113.93</v>
      </c>
      <c r="VC21" s="899">
        <f t="shared" si="194"/>
        <v>4347548.26</v>
      </c>
      <c r="VD21" s="830">
        <f>'[1]Иные межбюджетные трансферты'!AM19</f>
        <v>2580247.33</v>
      </c>
      <c r="VE21" s="1587">
        <f>'[1]Иные межбюджетные трансферты'!BC19</f>
        <v>1767300.9300000002</v>
      </c>
      <c r="VF21" s="1495">
        <f t="shared" si="195"/>
        <v>3774661.0700000003</v>
      </c>
      <c r="VG21" s="753">
        <v>2007360.14</v>
      </c>
      <c r="VH21" s="1251">
        <f t="shared" si="196"/>
        <v>1767300.9300000002</v>
      </c>
      <c r="VI21" s="1199">
        <f t="shared" si="197"/>
        <v>4347548.26</v>
      </c>
      <c r="VJ21" s="516">
        <f>'Проверочная  таблица'!VD21-VP21</f>
        <v>2580247.33</v>
      </c>
      <c r="VK21" s="516">
        <f>'Проверочная  таблица'!VE21-VQ21</f>
        <v>1767300.9300000002</v>
      </c>
      <c r="VL21" s="1199">
        <f t="shared" si="198"/>
        <v>3774661.0700000003</v>
      </c>
      <c r="VM21" s="516">
        <f>'Проверочная  таблица'!VG21-VS21</f>
        <v>2007360.14</v>
      </c>
      <c r="VN21" s="516">
        <f>'Проверочная  таблица'!VH21-VT21</f>
        <v>1767300.9300000002</v>
      </c>
      <c r="VO21" s="1199">
        <f t="shared" si="199"/>
        <v>0</v>
      </c>
      <c r="VP21" s="833">
        <f>'[1]Иные межбюджетные трансферты'!AO19</f>
        <v>0</v>
      </c>
      <c r="VQ21" s="830">
        <f>'[1]Иные межбюджетные трансферты'!BE19</f>
        <v>0</v>
      </c>
      <c r="VR21" s="1501">
        <f t="shared" si="200"/>
        <v>0</v>
      </c>
      <c r="VS21" s="1492"/>
      <c r="VT21" s="518">
        <f t="shared" si="201"/>
        <v>0</v>
      </c>
      <c r="VU21" s="521">
        <f>VW21+'Проверочная  таблица'!WE21+WA21+'Проверочная  таблица'!WI21+WC21+'Проверочная  таблица'!WK21</f>
        <v>0</v>
      </c>
      <c r="VV21" s="521">
        <f>VX21+'Проверочная  таблица'!WF21+WB21+'Проверочная  таблица'!WJ21+WD21+'Проверочная  таблица'!WL21</f>
        <v>0</v>
      </c>
      <c r="VW21" s="533"/>
      <c r="VX21" s="533"/>
      <c r="VY21" s="533"/>
      <c r="VZ21" s="533"/>
      <c r="WA21" s="530">
        <f t="shared" si="103"/>
        <v>0</v>
      </c>
      <c r="WB21" s="528">
        <f t="shared" si="104"/>
        <v>0</v>
      </c>
      <c r="WC21" s="534"/>
      <c r="WD21" s="523"/>
      <c r="WE21" s="533"/>
      <c r="WF21" s="533"/>
      <c r="WG21" s="533"/>
      <c r="WH21" s="533"/>
      <c r="WI21" s="530">
        <f t="shared" si="105"/>
        <v>0</v>
      </c>
      <c r="WJ21" s="528">
        <f t="shared" si="106"/>
        <v>0</v>
      </c>
      <c r="WK21" s="523"/>
      <c r="WL21" s="523"/>
      <c r="WM21" s="252">
        <f>'Проверочная  таблица'!WE21+'Проверочная  таблица'!WG21</f>
        <v>0</v>
      </c>
      <c r="WN21" s="252">
        <f>'Проверочная  таблица'!WF21+'Проверочная  таблица'!WH21</f>
        <v>0</v>
      </c>
      <c r="WO21" s="1042"/>
    </row>
    <row r="22" spans="1:613" s="338" customFormat="1" ht="25.5" customHeight="1" x14ac:dyDescent="0.25">
      <c r="A22" s="348" t="s">
        <v>89</v>
      </c>
      <c r="B22" s="526">
        <f>D22+AI22+'Проверочная  таблица'!RA22+'Проверочная  таблица'!SK22</f>
        <v>1131553294.8400002</v>
      </c>
      <c r="C22" s="521">
        <f>E22+'Проверочная  таблица'!RD22+AJ22+'Проверочная  таблица'!SL22</f>
        <v>730523609.28999996</v>
      </c>
      <c r="D22" s="524">
        <f t="shared" si="0"/>
        <v>223223742</v>
      </c>
      <c r="E22" s="526">
        <f t="shared" si="1"/>
        <v>177540427</v>
      </c>
      <c r="F22" s="581">
        <f>'[1]Дотация  из  ОБ_факт'!M18</f>
        <v>102216400</v>
      </c>
      <c r="G22" s="963">
        <v>76662000</v>
      </c>
      <c r="H22" s="581">
        <f>'[1]Дотация  из  ОБ_факт'!G18</f>
        <v>24172000</v>
      </c>
      <c r="I22" s="963">
        <v>18128085</v>
      </c>
      <c r="J22" s="582">
        <f t="shared" si="2"/>
        <v>24172000</v>
      </c>
      <c r="K22" s="588">
        <f t="shared" si="3"/>
        <v>18128085</v>
      </c>
      <c r="L22" s="835">
        <f>'[1]Дотация  из  ОБ_факт'!K18</f>
        <v>0</v>
      </c>
      <c r="M22" s="1446"/>
      <c r="N22" s="581">
        <f>'[1]Дотация  из  ОБ_факт'!Q18</f>
        <v>4409550</v>
      </c>
      <c r="O22" s="963">
        <v>1881540</v>
      </c>
      <c r="P22" s="581">
        <f>'[1]Дотация  из  ОБ_факт'!S18</f>
        <v>88239507.999999985</v>
      </c>
      <c r="Q22" s="1532">
        <v>76682518</v>
      </c>
      <c r="R22" s="588">
        <f t="shared" si="4"/>
        <v>41552293.999999978</v>
      </c>
      <c r="S22" s="583">
        <f t="shared" si="5"/>
        <v>31439984</v>
      </c>
      <c r="T22" s="835">
        <f>'[1]Дотация  из  ОБ_факт'!W18</f>
        <v>46687214.000000007</v>
      </c>
      <c r="U22" s="1581">
        <v>45242534</v>
      </c>
      <c r="V22" s="581">
        <f>'[1]Дотация  из  ОБ_факт'!AA18+'[1]Дотация  из  ОБ_факт'!AC18+'[1]Дотация  из  ОБ_факт'!AG18</f>
        <v>3373784</v>
      </c>
      <c r="W22" s="461">
        <f t="shared" si="6"/>
        <v>3373784</v>
      </c>
      <c r="X22" s="585"/>
      <c r="Y22" s="584">
        <v>1500000</v>
      </c>
      <c r="Z22" s="585">
        <v>1873784</v>
      </c>
      <c r="AA22" s="581">
        <f>'[1]Дотация  из  ОБ_факт'!Y18+'[1]Дотация  из  ОБ_факт'!AE18</f>
        <v>812500</v>
      </c>
      <c r="AB22" s="172">
        <f t="shared" si="7"/>
        <v>812500</v>
      </c>
      <c r="AC22" s="584">
        <v>212500</v>
      </c>
      <c r="AD22" s="585">
        <v>600000</v>
      </c>
      <c r="AE22" s="582">
        <f t="shared" si="8"/>
        <v>212500</v>
      </c>
      <c r="AF22" s="588">
        <f t="shared" si="9"/>
        <v>212500</v>
      </c>
      <c r="AG22" s="1187">
        <f>'[1]Дотация  из  ОБ_факт'!AE18</f>
        <v>600000</v>
      </c>
      <c r="AH22" s="1480">
        <f t="shared" si="107"/>
        <v>600000</v>
      </c>
      <c r="AI22" s="579">
        <f>'Проверочная  таблица'!KW22+'Проверочная  таблица'!QS22+'Проверочная  таблица'!QU22+CS22+CU22+DA22+DC22+BU22+CE22+'Проверочная  таблица'!IQ22+'Проверочная  таблица'!JK22+'Проверочная  таблица'!EE22+'Проверочная  таблица'!KO22+DQ22+'Проверочная  таблица'!HQ22+'Проверочная  таблица'!HW22+'Проверочная  таблица'!LA22+'Проверочная  таблица'!LI22+HK22+FQ22+FE22+NK22+EY22+AK22+AW22+FK22+GM22+GS22+DI22+NQ22+FW22+EK22+OE22+MG22+GG22+PU22+QA22</f>
        <v>330881018.39000005</v>
      </c>
      <c r="AJ22" s="498">
        <f>'Проверочная  таблица'!KY22+'Проверочная  таблица'!QT22+'Проверочная  таблица'!QV22+CT22+CV22+DB22+DD22+BZ22+CJ22+'Проверочная  таблица'!JA22+'Проверочная  таблица'!JP22+'Проверочная  таблица'!EH22+'Проверочная  таблица'!KS22+DX22+'Проверочная  таблица'!HT22+'Проверочная  таблица'!HZ22+'Проверочная  таблица'!LE22+'Проверочная  таблица'!LM22+HN22+FN22+FT22+FH22+NN22+FB22+AQ22+BA22+GP22+GV22+DM22+NX22+FZ22+ER22+OL22+ML22+GJ22+PX22+QD22</f>
        <v>137713070.22999999</v>
      </c>
      <c r="AK22" s="466">
        <f t="shared" si="108"/>
        <v>0</v>
      </c>
      <c r="AL22" s="525">
        <f>[1]Субсидия_факт!CD20</f>
        <v>0</v>
      </c>
      <c r="AM22" s="508">
        <f>[1]Субсидия_факт!EX20</f>
        <v>0</v>
      </c>
      <c r="AN22" s="506">
        <f>[1]Субсидия_факт!FJ20</f>
        <v>0</v>
      </c>
      <c r="AO22" s="525">
        <f>[1]Субсидия_факт!LT20</f>
        <v>0</v>
      </c>
      <c r="AP22" s="622">
        <f>[1]Субсидия_факт!LZ20</f>
        <v>0</v>
      </c>
      <c r="AQ22" s="748">
        <f t="shared" si="109"/>
        <v>0</v>
      </c>
      <c r="AR22" s="474"/>
      <c r="AS22" s="474"/>
      <c r="AT22" s="474"/>
      <c r="AU22" s="474"/>
      <c r="AV22" s="531"/>
      <c r="AW22" s="498">
        <f t="shared" si="10"/>
        <v>0</v>
      </c>
      <c r="AX22" s="525">
        <f>[1]Субсидия_факт!CF20</f>
        <v>0</v>
      </c>
      <c r="AY22" s="508">
        <f>[1]Субсидия_факт!FB20</f>
        <v>0</v>
      </c>
      <c r="AZ22" s="646">
        <f>[1]Субсидия_факт!LV20</f>
        <v>0</v>
      </c>
      <c r="BA22" s="466">
        <f t="shared" si="11"/>
        <v>0</v>
      </c>
      <c r="BB22" s="531"/>
      <c r="BC22" s="531"/>
      <c r="BD22" s="532"/>
      <c r="BE22" s="669">
        <f t="shared" si="12"/>
        <v>0</v>
      </c>
      <c r="BF22" s="652">
        <f t="shared" si="13"/>
        <v>0</v>
      </c>
      <c r="BG22" s="464">
        <f t="shared" si="14"/>
        <v>0</v>
      </c>
      <c r="BH22" s="341">
        <f t="shared" si="15"/>
        <v>0</v>
      </c>
      <c r="BI22" s="669">
        <f t="shared" si="16"/>
        <v>0</v>
      </c>
      <c r="BJ22" s="622">
        <f t="shared" si="17"/>
        <v>0</v>
      </c>
      <c r="BK22" s="506">
        <f t="shared" si="18"/>
        <v>0</v>
      </c>
      <c r="BL22" s="341">
        <f t="shared" si="19"/>
        <v>0</v>
      </c>
      <c r="BM22" s="667">
        <f t="shared" si="20"/>
        <v>0</v>
      </c>
      <c r="BN22" s="525">
        <f>[1]Субсидия_факт!CH20</f>
        <v>0</v>
      </c>
      <c r="BO22" s="508">
        <f>[1]Субсидия_факт!FD20</f>
        <v>0</v>
      </c>
      <c r="BP22" s="646">
        <f>[1]Субсидия_факт!LX20</f>
        <v>0</v>
      </c>
      <c r="BQ22" s="669">
        <f t="shared" si="21"/>
        <v>0</v>
      </c>
      <c r="BR22" s="532"/>
      <c r="BS22" s="531"/>
      <c r="BT22" s="532"/>
      <c r="BU22" s="521">
        <f t="shared" si="110"/>
        <v>19381845.420000002</v>
      </c>
      <c r="BV22" s="562">
        <f>[1]Субсидия_факт!HB20</f>
        <v>0</v>
      </c>
      <c r="BW22" s="516">
        <f>[1]Субсидия_факт!HH20</f>
        <v>19381845.420000002</v>
      </c>
      <c r="BX22" s="531">
        <f>[1]Субсидия_факт!HP20</f>
        <v>0</v>
      </c>
      <c r="BY22" s="562">
        <f>[1]Субсидия_факт!HV20</f>
        <v>0</v>
      </c>
      <c r="BZ22" s="521">
        <f t="shared" si="111"/>
        <v>19184284.550000001</v>
      </c>
      <c r="CA22" s="531"/>
      <c r="CB22" s="531">
        <v>19184284.550000001</v>
      </c>
      <c r="CC22" s="625"/>
      <c r="CD22" s="625"/>
      <c r="CE22" s="526">
        <f t="shared" si="112"/>
        <v>14784861.859999999</v>
      </c>
      <c r="CF22" s="525">
        <f>[1]Субсидия_факт!HD20</f>
        <v>0</v>
      </c>
      <c r="CG22" s="525">
        <f>[1]Субсидия_факт!HJ20</f>
        <v>14784861.859999999</v>
      </c>
      <c r="CH22" s="531">
        <f>[1]Субсидия_факт!HR20</f>
        <v>0</v>
      </c>
      <c r="CI22" s="646">
        <f>[1]Субсидия_факт!HX20</f>
        <v>0</v>
      </c>
      <c r="CJ22" s="521">
        <f t="shared" si="113"/>
        <v>0</v>
      </c>
      <c r="CK22" s="531"/>
      <c r="CL22" s="532"/>
      <c r="CM22" s="625"/>
      <c r="CN22" s="724"/>
      <c r="CO22" s="530">
        <f t="shared" si="22"/>
        <v>0</v>
      </c>
      <c r="CP22" s="528">
        <f t="shared" si="23"/>
        <v>0</v>
      </c>
      <c r="CQ22" s="527">
        <f t="shared" si="114"/>
        <v>14784861.859999999</v>
      </c>
      <c r="CR22" s="530">
        <f t="shared" si="115"/>
        <v>0</v>
      </c>
      <c r="CS22" s="521">
        <f>[1]Субсидия_факт!FL20</f>
        <v>0</v>
      </c>
      <c r="CT22" s="620"/>
      <c r="CU22" s="521">
        <f>[1]Субсидия_факт!FN20</f>
        <v>83669524.5</v>
      </c>
      <c r="CV22" s="620">
        <v>65820628.689999998</v>
      </c>
      <c r="CW22" s="528">
        <f t="shared" si="24"/>
        <v>0</v>
      </c>
      <c r="CX22" s="527">
        <f t="shared" si="25"/>
        <v>0</v>
      </c>
      <c r="CY22" s="587">
        <f>[1]Субсидия_факт!FP20</f>
        <v>83669524.5</v>
      </c>
      <c r="CZ22" s="1480">
        <f t="shared" si="205"/>
        <v>65820628.689999998</v>
      </c>
      <c r="DA22" s="526">
        <f>[1]Субсидия_факт!FR20</f>
        <v>0</v>
      </c>
      <c r="DB22" s="339"/>
      <c r="DC22" s="524">
        <f>[1]Субсидия_факт!FT20</f>
        <v>8213758.8499999996</v>
      </c>
      <c r="DD22" s="339">
        <v>6033265.8600000003</v>
      </c>
      <c r="DE22" s="1238">
        <f t="shared" si="26"/>
        <v>0</v>
      </c>
      <c r="DF22" s="528">
        <f t="shared" si="27"/>
        <v>0</v>
      </c>
      <c r="DG22" s="663">
        <f>[1]Субсидия_факт!FV20</f>
        <v>8213758.8499999996</v>
      </c>
      <c r="DH22" s="1478">
        <f t="shared" si="116"/>
        <v>6033265.8600000003</v>
      </c>
      <c r="DI22" s="498">
        <f t="shared" si="117"/>
        <v>0</v>
      </c>
      <c r="DJ22" s="625">
        <f>[1]Субсидия_факт!EV20</f>
        <v>0</v>
      </c>
      <c r="DK22" s="516">
        <f>[1]Субсидия_факт!EL20</f>
        <v>0</v>
      </c>
      <c r="DL22" s="838">
        <f>[1]Субсидия_факт!EN20</f>
        <v>0</v>
      </c>
      <c r="DM22" s="466">
        <f t="shared" si="118"/>
        <v>0</v>
      </c>
      <c r="DN22" s="625"/>
      <c r="DO22" s="625"/>
      <c r="DP22" s="987"/>
      <c r="DQ22" s="526">
        <f t="shared" si="28"/>
        <v>0</v>
      </c>
      <c r="DR22" s="508">
        <f>[1]Субсидия_факт!N20</f>
        <v>0</v>
      </c>
      <c r="DS22" s="652">
        <f>[1]Субсидия_факт!P20</f>
        <v>0</v>
      </c>
      <c r="DT22" s="682">
        <f>[1]Субсидия_факт!R20</f>
        <v>0</v>
      </c>
      <c r="DU22" s="506">
        <f>[1]Субсидия_факт!T20</f>
        <v>0</v>
      </c>
      <c r="DV22" s="689">
        <f>[1]Субсидия_факт!V20</f>
        <v>0</v>
      </c>
      <c r="DW22" s="506">
        <f>[1]Субсидия_факт!X20</f>
        <v>0</v>
      </c>
      <c r="DX22" s="521">
        <f t="shared" si="29"/>
        <v>0</v>
      </c>
      <c r="DY22" s="532"/>
      <c r="DZ22" s="531"/>
      <c r="EA22" s="686"/>
      <c r="EB22" s="531"/>
      <c r="EC22" s="686"/>
      <c r="ED22" s="531"/>
      <c r="EE22" s="498">
        <f t="shared" si="30"/>
        <v>0</v>
      </c>
      <c r="EF22" s="516">
        <f>[1]Субсидия_факт!BL20</f>
        <v>0</v>
      </c>
      <c r="EG22" s="838">
        <f>[1]Субсидия_факт!BN20</f>
        <v>0</v>
      </c>
      <c r="EH22" s="466">
        <f t="shared" si="31"/>
        <v>0</v>
      </c>
      <c r="EI22" s="772"/>
      <c r="EJ22" s="987"/>
      <c r="EK22" s="526">
        <f t="shared" si="32"/>
        <v>0</v>
      </c>
      <c r="EL22" s="525">
        <f>[1]Субсидия_факт!AF20</f>
        <v>0</v>
      </c>
      <c r="EM22" s="689">
        <f>[1]Субсидия_факт!AH20</f>
        <v>0</v>
      </c>
      <c r="EN22" s="506">
        <f>[1]Субсидия_факт!AJ20</f>
        <v>0</v>
      </c>
      <c r="EO22" s="866">
        <f>[1]Субсидия_факт!AL20</f>
        <v>0</v>
      </c>
      <c r="EP22" s="622">
        <f>[1]Субсидия_факт!AN20</f>
        <v>0</v>
      </c>
      <c r="EQ22" s="712">
        <f>[1]Субсидия_факт!AP20</f>
        <v>0</v>
      </c>
      <c r="ER22" s="521">
        <f t="shared" si="33"/>
        <v>0</v>
      </c>
      <c r="ES22" s="474"/>
      <c r="ET22" s="686"/>
      <c r="EU22" s="474"/>
      <c r="EV22" s="686"/>
      <c r="EW22" s="474"/>
      <c r="EX22" s="686"/>
      <c r="EY22" s="498">
        <f t="shared" si="34"/>
        <v>0</v>
      </c>
      <c r="EZ22" s="516">
        <f>[1]Субсидия_факт!AV20</f>
        <v>0</v>
      </c>
      <c r="FA22" s="752">
        <f>[1]Субсидия_факт!AX20</f>
        <v>0</v>
      </c>
      <c r="FB22" s="466">
        <f t="shared" si="35"/>
        <v>0</v>
      </c>
      <c r="FC22" s="772"/>
      <c r="FD22" s="678"/>
      <c r="FE22" s="498">
        <f t="shared" si="36"/>
        <v>0</v>
      </c>
      <c r="FF22" s="516">
        <f>[1]Субсидия_факт!BT20</f>
        <v>0</v>
      </c>
      <c r="FG22" s="838">
        <f>[1]Субсидия_факт!BV20</f>
        <v>0</v>
      </c>
      <c r="FH22" s="466">
        <f t="shared" si="37"/>
        <v>0</v>
      </c>
      <c r="FI22" s="772"/>
      <c r="FJ22" s="678"/>
      <c r="FK22" s="498">
        <f t="shared" si="38"/>
        <v>0</v>
      </c>
      <c r="FL22" s="516">
        <f>[1]Субсидия_факт!BP20</f>
        <v>0</v>
      </c>
      <c r="FM22" s="838">
        <f>[1]Субсидия_факт!BR20</f>
        <v>0</v>
      </c>
      <c r="FN22" s="466">
        <f t="shared" si="39"/>
        <v>0</v>
      </c>
      <c r="FO22" s="772"/>
      <c r="FP22" s="678"/>
      <c r="FQ22" s="498">
        <f t="shared" si="40"/>
        <v>0</v>
      </c>
      <c r="FR22" s="516">
        <f>[1]Субсидия_факт!IV20</f>
        <v>0</v>
      </c>
      <c r="FS22" s="838">
        <f>[1]Субсидия_факт!IX20</f>
        <v>0</v>
      </c>
      <c r="FT22" s="466">
        <f t="shared" si="41"/>
        <v>0</v>
      </c>
      <c r="FU22" s="772"/>
      <c r="FV22" s="678"/>
      <c r="FW22" s="498">
        <f t="shared" si="42"/>
        <v>0</v>
      </c>
      <c r="FX22" s="516">
        <f>[1]Субсидия_факт!IZ20</f>
        <v>0</v>
      </c>
      <c r="FY22" s="838">
        <f>[1]Субсидия_факт!JD20</f>
        <v>0</v>
      </c>
      <c r="FZ22" s="466">
        <f t="shared" si="43"/>
        <v>0</v>
      </c>
      <c r="GA22" s="772"/>
      <c r="GB22" s="678"/>
      <c r="GC22" s="667">
        <f t="shared" si="119"/>
        <v>0</v>
      </c>
      <c r="GD22" s="669">
        <f t="shared" si="120"/>
        <v>0</v>
      </c>
      <c r="GE22" s="667">
        <f t="shared" si="121"/>
        <v>0</v>
      </c>
      <c r="GF22" s="669">
        <f t="shared" si="122"/>
        <v>0</v>
      </c>
      <c r="GG22" s="498">
        <f t="shared" si="123"/>
        <v>0</v>
      </c>
      <c r="GH22" s="1251">
        <f>[1]Субсидия_факт!BH20</f>
        <v>0</v>
      </c>
      <c r="GI22" s="676">
        <f>[1]Субсидия_факт!BJ20</f>
        <v>0</v>
      </c>
      <c r="GJ22" s="498">
        <f t="shared" si="124"/>
        <v>0</v>
      </c>
      <c r="GK22" s="724"/>
      <c r="GL22" s="678"/>
      <c r="GM22" s="498">
        <f t="shared" si="44"/>
        <v>0</v>
      </c>
      <c r="GN22" s="516"/>
      <c r="GO22" s="838"/>
      <c r="GP22" s="466">
        <f t="shared" si="45"/>
        <v>0</v>
      </c>
      <c r="GQ22" s="724"/>
      <c r="GR22" s="678"/>
      <c r="GS22" s="498">
        <f t="shared" si="46"/>
        <v>404244</v>
      </c>
      <c r="GT22" s="516">
        <f>[1]Субсидия_факт!FZ20</f>
        <v>201997.43</v>
      </c>
      <c r="GU22" s="838">
        <f>[1]Субсидия_факт!GD20</f>
        <v>202246.57</v>
      </c>
      <c r="GV22" s="466">
        <f t="shared" si="47"/>
        <v>404244</v>
      </c>
      <c r="GW22" s="1251">
        <f>GT22</f>
        <v>201997.43</v>
      </c>
      <c r="GX22" s="676">
        <f>GU22</f>
        <v>202246.57</v>
      </c>
      <c r="GY22" s="667">
        <f t="shared" si="48"/>
        <v>404244</v>
      </c>
      <c r="GZ22" s="516">
        <f t="shared" si="125"/>
        <v>201997.43</v>
      </c>
      <c r="HA22" s="838">
        <f t="shared" si="125"/>
        <v>202246.57</v>
      </c>
      <c r="HB22" s="669">
        <f t="shared" si="49"/>
        <v>404244</v>
      </c>
      <c r="HC22" s="516">
        <f t="shared" si="125"/>
        <v>201997.43</v>
      </c>
      <c r="HD22" s="838">
        <f t="shared" si="125"/>
        <v>202246.57</v>
      </c>
      <c r="HE22" s="667">
        <f t="shared" si="50"/>
        <v>0</v>
      </c>
      <c r="HF22" s="516">
        <f>[1]Субсидия_факт!GB20</f>
        <v>0</v>
      </c>
      <c r="HG22" s="838">
        <f>[1]Субсидия_факт!GF20</f>
        <v>0</v>
      </c>
      <c r="HH22" s="669">
        <f t="shared" si="51"/>
        <v>0</v>
      </c>
      <c r="HI22" s="724"/>
      <c r="HJ22" s="678"/>
      <c r="HK22" s="526">
        <f t="shared" si="126"/>
        <v>0</v>
      </c>
      <c r="HL22" s="518">
        <f>[1]Субсидия_факт!DD20</f>
        <v>0</v>
      </c>
      <c r="HM22" s="752">
        <f>[1]Субсидия_факт!DF20</f>
        <v>0</v>
      </c>
      <c r="HN22" s="521">
        <f t="shared" si="127"/>
        <v>0</v>
      </c>
      <c r="HO22" s="531"/>
      <c r="HP22" s="706"/>
      <c r="HQ22" s="579">
        <f t="shared" si="54"/>
        <v>364073.2</v>
      </c>
      <c r="HR22" s="516">
        <f>[1]Субсидия_факт!CR20</f>
        <v>101940.5</v>
      </c>
      <c r="HS22" s="838">
        <f>[1]Субсидия_факт!CX20</f>
        <v>262132.7</v>
      </c>
      <c r="HT22" s="466">
        <f t="shared" si="55"/>
        <v>364073.2</v>
      </c>
      <c r="HU22" s="1251">
        <f t="shared" si="211"/>
        <v>101940.5</v>
      </c>
      <c r="HV22" s="1519">
        <f t="shared" si="211"/>
        <v>262132.7</v>
      </c>
      <c r="HW22" s="466">
        <f t="shared" si="56"/>
        <v>2192962.12</v>
      </c>
      <c r="HX22" s="516">
        <f>[1]Субсидия_факт!CT20</f>
        <v>614029.43999999994</v>
      </c>
      <c r="HY22" s="752">
        <f>[1]Субсидия_факт!CZ20</f>
        <v>1578932.68</v>
      </c>
      <c r="HZ22" s="466">
        <f t="shared" si="57"/>
        <v>1086631.21</v>
      </c>
      <c r="IA22" s="757">
        <f t="shared" si="128"/>
        <v>304256.78000000003</v>
      </c>
      <c r="IB22" s="789">
        <f t="shared" si="129"/>
        <v>782374.42999999993</v>
      </c>
      <c r="IC22" s="625">
        <v>406197.28</v>
      </c>
      <c r="ID22" s="709">
        <v>1044507.13</v>
      </c>
      <c r="IE22" s="669">
        <f t="shared" si="58"/>
        <v>1086631.21</v>
      </c>
      <c r="IF22" s="750">
        <f>'Проверочная  таблица'!HX22-'Проверочная  таблица'!IL22</f>
        <v>304256.77999999997</v>
      </c>
      <c r="IG22" s="676">
        <f>'Проверочная  таблица'!HY22-'Проверочная  таблица'!IM22</f>
        <v>782374.42999999993</v>
      </c>
      <c r="IH22" s="663">
        <f t="shared" si="59"/>
        <v>1086631.21</v>
      </c>
      <c r="II22" s="757">
        <f>'Проверочная  таблица'!IA22-'Проверочная  таблица'!IO22</f>
        <v>304256.78000000003</v>
      </c>
      <c r="IJ22" s="768">
        <f>'Проверочная  таблица'!IB22-'Проверочная  таблица'!IP22</f>
        <v>782374.42999999993</v>
      </c>
      <c r="IK22" s="669">
        <f t="shared" si="60"/>
        <v>1106330.9099999999</v>
      </c>
      <c r="IL22" s="516">
        <f>[1]Субсидия_факт!CV20</f>
        <v>309772.65999999997</v>
      </c>
      <c r="IM22" s="838">
        <f>[1]Субсидия_факт!DB20</f>
        <v>796558.25</v>
      </c>
      <c r="IN22" s="669">
        <f t="shared" si="61"/>
        <v>0</v>
      </c>
      <c r="IO22" s="724"/>
      <c r="IP22" s="678">
        <v>0</v>
      </c>
      <c r="IQ22" s="466">
        <f t="shared" si="130"/>
        <v>0</v>
      </c>
      <c r="IR22" s="757">
        <f>[1]Субсидия_факт!CJ20</f>
        <v>0</v>
      </c>
      <c r="IS22" s="676">
        <f>[1]Субсидия_факт!CN20</f>
        <v>0</v>
      </c>
      <c r="IT22" s="757">
        <f>[1]Субсидия_факт!DH20</f>
        <v>0</v>
      </c>
      <c r="IU22" s="676">
        <f>[1]Субсидия_факт!DN20</f>
        <v>0</v>
      </c>
      <c r="IV22" s="525">
        <f>[1]Субсидия_факт!DX20</f>
        <v>0</v>
      </c>
      <c r="IW22" s="689">
        <f>[1]Субсидия_факт!DZ20</f>
        <v>0</v>
      </c>
      <c r="IX22" s="1295">
        <f>[1]Субсидия_факт!DT20</f>
        <v>0</v>
      </c>
      <c r="IY22" s="676">
        <f>[1]Субсидия_факт!DV20</f>
        <v>0</v>
      </c>
      <c r="IZ22" s="516">
        <f>[1]Субсидия_факт!EB20</f>
        <v>0</v>
      </c>
      <c r="JA22" s="466">
        <f t="shared" si="131"/>
        <v>0</v>
      </c>
      <c r="JB22" s="625"/>
      <c r="JC22" s="678"/>
      <c r="JD22" s="625"/>
      <c r="JE22" s="678"/>
      <c r="JF22" s="531"/>
      <c r="JG22" s="706"/>
      <c r="JH22" s="625"/>
      <c r="JI22" s="678"/>
      <c r="JJ22" s="757">
        <f t="shared" si="132"/>
        <v>0</v>
      </c>
      <c r="JK22" s="748">
        <f t="shared" si="133"/>
        <v>0</v>
      </c>
      <c r="JL22" s="757">
        <f>[1]Субсидия_факт!CL20</f>
        <v>0</v>
      </c>
      <c r="JM22" s="676">
        <f>[1]Субсидия_факт!CP20</f>
        <v>0</v>
      </c>
      <c r="JN22" s="757">
        <f>[1]Субсидия_факт!DJ20</f>
        <v>0</v>
      </c>
      <c r="JO22" s="676">
        <f>[1]Субсидия_факт!DP20</f>
        <v>0</v>
      </c>
      <c r="JP22" s="748">
        <f t="shared" si="134"/>
        <v>0</v>
      </c>
      <c r="JQ22" s="625"/>
      <c r="JR22" s="678"/>
      <c r="JS22" s="625"/>
      <c r="JT22" s="678"/>
      <c r="JU22" s="587">
        <f t="shared" si="135"/>
        <v>0</v>
      </c>
      <c r="JV22" s="757">
        <f>'Проверочная  таблица'!JL22-KF22</f>
        <v>0</v>
      </c>
      <c r="JW22" s="676">
        <f>'Проверочная  таблица'!JM22-KG22</f>
        <v>0</v>
      </c>
      <c r="JX22" s="757">
        <f>'Проверочная  таблица'!JN22-KH22</f>
        <v>0</v>
      </c>
      <c r="JY22" s="676">
        <f>'Проверочная  таблица'!JO22-KI22</f>
        <v>0</v>
      </c>
      <c r="JZ22" s="587">
        <f t="shared" si="136"/>
        <v>0</v>
      </c>
      <c r="KA22" s="757">
        <f>'Проверочная  таблица'!JQ22-KK22</f>
        <v>0</v>
      </c>
      <c r="KB22" s="676">
        <f>'Проверочная  таблица'!JR22-KL22</f>
        <v>0</v>
      </c>
      <c r="KC22" s="757">
        <f>'Проверочная  таблица'!JS22-KM22</f>
        <v>0</v>
      </c>
      <c r="KD22" s="789">
        <f>'Проверочная  таблица'!JT22-KN22</f>
        <v>0</v>
      </c>
      <c r="KE22" s="587">
        <f t="shared" si="137"/>
        <v>0</v>
      </c>
      <c r="KF22" s="625"/>
      <c r="KG22" s="678"/>
      <c r="KH22" s="757">
        <f>[1]Субсидия_факт!DL20</f>
        <v>0</v>
      </c>
      <c r="KI22" s="1519">
        <f>[1]Субсидия_факт!DR20</f>
        <v>0</v>
      </c>
      <c r="KJ22" s="587">
        <f t="shared" si="138"/>
        <v>0</v>
      </c>
      <c r="KK22" s="753"/>
      <c r="KL22" s="678"/>
      <c r="KM22" s="625"/>
      <c r="KN22" s="678"/>
      <c r="KO22" s="579">
        <f t="shared" si="139"/>
        <v>0</v>
      </c>
      <c r="KP22" s="516">
        <f>[1]Субсидия_факт!BX20</f>
        <v>0</v>
      </c>
      <c r="KQ22" s="838">
        <f>[1]Субсидия_факт!BZ20</f>
        <v>0</v>
      </c>
      <c r="KR22" s="516">
        <f>[1]Субсидия_факт!CB20</f>
        <v>0</v>
      </c>
      <c r="KS22" s="466">
        <f t="shared" si="140"/>
        <v>0</v>
      </c>
      <c r="KT22" s="625"/>
      <c r="KU22" s="678"/>
      <c r="KV22" s="625"/>
      <c r="KW22" s="498">
        <f t="shared" si="62"/>
        <v>0</v>
      </c>
      <c r="KX22" s="508">
        <f>[1]Субсидия_факт!GN20</f>
        <v>0</v>
      </c>
      <c r="KY22" s="466">
        <f t="shared" si="63"/>
        <v>0</v>
      </c>
      <c r="KZ22" s="625"/>
      <c r="LA22" s="754">
        <f t="shared" si="206"/>
        <v>0</v>
      </c>
      <c r="LB22" s="516">
        <f>[1]Субсидия_факт!JT20</f>
        <v>0</v>
      </c>
      <c r="LC22" s="838">
        <f>[1]Субсидия_факт!JZ20</f>
        <v>0</v>
      </c>
      <c r="LD22" s="508"/>
      <c r="LE22" s="754">
        <f t="shared" si="207"/>
        <v>0</v>
      </c>
      <c r="LF22" s="772"/>
      <c r="LG22" s="678"/>
      <c r="LH22" s="625"/>
      <c r="LI22" s="754">
        <f t="shared" si="141"/>
        <v>17400000</v>
      </c>
      <c r="LJ22" s="516">
        <f>[1]Субсидия_факт!JV20</f>
        <v>870000</v>
      </c>
      <c r="LK22" s="838">
        <f>[1]Субсидия_факт!KB20</f>
        <v>16530000</v>
      </c>
      <c r="LL22" s="518">
        <f>[1]Субсидия_факт!KF20</f>
        <v>0</v>
      </c>
      <c r="LM22" s="754">
        <f t="shared" si="142"/>
        <v>17400000</v>
      </c>
      <c r="LN22" s="625">
        <v>870000.01</v>
      </c>
      <c r="LO22" s="771">
        <v>16529999.99</v>
      </c>
      <c r="LP22" s="625"/>
      <c r="LQ22" s="756">
        <f t="shared" si="143"/>
        <v>0</v>
      </c>
      <c r="LR22" s="652">
        <f>'Проверочная  таблица'!LJ22-LZ22</f>
        <v>0</v>
      </c>
      <c r="LS22" s="682">
        <f>'Проверочная  таблица'!LK22-MA22</f>
        <v>0</v>
      </c>
      <c r="LT22" s="622">
        <f>'Проверочная  таблица'!LL22-MB22</f>
        <v>0</v>
      </c>
      <c r="LU22" s="756">
        <f t="shared" si="144"/>
        <v>0</v>
      </c>
      <c r="LV22" s="750">
        <f>'Проверочная  таблица'!LN22-MD22</f>
        <v>0</v>
      </c>
      <c r="LW22" s="676">
        <f>'Проверочная  таблица'!LO22-ME22</f>
        <v>0</v>
      </c>
      <c r="LX22" s="757">
        <f>'Проверочная  таблица'!LP22-MF22</f>
        <v>0</v>
      </c>
      <c r="LY22" s="756">
        <f t="shared" si="145"/>
        <v>17400000</v>
      </c>
      <c r="LZ22" s="516">
        <f>[1]Субсидия_факт!JX20</f>
        <v>870000</v>
      </c>
      <c r="MA22" s="838">
        <f>[1]Субсидия_факт!KD20</f>
        <v>16530000</v>
      </c>
      <c r="MB22" s="516">
        <f>[1]Субсидия_факт!KH20</f>
        <v>0</v>
      </c>
      <c r="MC22" s="756">
        <f t="shared" si="146"/>
        <v>17400000</v>
      </c>
      <c r="MD22" s="750">
        <f t="shared" si="203"/>
        <v>870000.01</v>
      </c>
      <c r="ME22" s="676">
        <f t="shared" si="204"/>
        <v>16529999.99</v>
      </c>
      <c r="MF22" s="516"/>
      <c r="MG22" s="521">
        <f t="shared" si="147"/>
        <v>1590694.5699999998</v>
      </c>
      <c r="MH22" s="652">
        <f>[1]Субсидия_факт!KR20</f>
        <v>79534.73</v>
      </c>
      <c r="MI22" s="682">
        <f>[1]Субсидия_факт!KV20</f>
        <v>1511159.8399999999</v>
      </c>
      <c r="MJ22" s="750">
        <f>[1]Субсидия_факт!KZ20</f>
        <v>0</v>
      </c>
      <c r="MK22" s="1519">
        <f>[1]Субсидия_факт!LD20</f>
        <v>0</v>
      </c>
      <c r="ML22" s="521">
        <f t="shared" si="148"/>
        <v>0</v>
      </c>
      <c r="MM22" s="1609">
        <v>0</v>
      </c>
      <c r="MN22" s="706"/>
      <c r="MO22" s="342"/>
      <c r="MP22" s="770"/>
      <c r="MQ22" s="587">
        <f t="shared" si="149"/>
        <v>1590694.5699999998</v>
      </c>
      <c r="MR22" s="1613">
        <f t="shared" si="64"/>
        <v>79534.73</v>
      </c>
      <c r="MS22" s="682">
        <f t="shared" si="65"/>
        <v>1511159.8399999999</v>
      </c>
      <c r="MT22" s="487">
        <f t="shared" si="66"/>
        <v>0</v>
      </c>
      <c r="MU22" s="682">
        <f t="shared" si="67"/>
        <v>0</v>
      </c>
      <c r="MV22" s="587">
        <f t="shared" si="150"/>
        <v>0</v>
      </c>
      <c r="MW22" s="487">
        <f t="shared" si="68"/>
        <v>0</v>
      </c>
      <c r="MX22" s="682">
        <f t="shared" si="69"/>
        <v>0</v>
      </c>
      <c r="MY22" s="487">
        <f t="shared" si="70"/>
        <v>0</v>
      </c>
      <c r="MZ22" s="682">
        <f t="shared" si="71"/>
        <v>0</v>
      </c>
      <c r="NA22" s="587">
        <f t="shared" si="151"/>
        <v>0</v>
      </c>
      <c r="NB22" s="1079">
        <f>[1]Субсидия_факт!KT20</f>
        <v>0</v>
      </c>
      <c r="NC22" s="682">
        <f>[1]Субсидия_факт!KX20</f>
        <v>0</v>
      </c>
      <c r="ND22" s="625">
        <f>[1]Субсидия_факт!LB20</f>
        <v>0</v>
      </c>
      <c r="NE22" s="709">
        <f>[1]Субсидия_факт!LF20</f>
        <v>0</v>
      </c>
      <c r="NF22" s="587">
        <f t="shared" si="152"/>
        <v>0</v>
      </c>
      <c r="NG22" s="487"/>
      <c r="NH22" s="712"/>
      <c r="NI22" s="342"/>
      <c r="NJ22" s="706"/>
      <c r="NK22" s="498">
        <f t="shared" si="72"/>
        <v>0</v>
      </c>
      <c r="NL22" s="516">
        <f>[1]Субсидия_факт!AB20</f>
        <v>0</v>
      </c>
      <c r="NM22" s="838">
        <f>[1]Субсидия_факт!AD20</f>
        <v>0</v>
      </c>
      <c r="NN22" s="466">
        <f t="shared" si="73"/>
        <v>0</v>
      </c>
      <c r="NO22" s="772"/>
      <c r="NP22" s="987"/>
      <c r="NQ22" s="521">
        <f t="shared" si="153"/>
        <v>146987473.68000001</v>
      </c>
      <c r="NR22" s="506">
        <f>[1]Субсидия_факт!LH20</f>
        <v>0</v>
      </c>
      <c r="NS22" s="866">
        <f>[1]Субсидия_факт!LJ20</f>
        <v>0</v>
      </c>
      <c r="NT22" s="525">
        <f>[1]Субсидия_факт!MN20</f>
        <v>7349373.6799999997</v>
      </c>
      <c r="NU22" s="689">
        <f>[1]Субсидия_факт!MP20</f>
        <v>139638100</v>
      </c>
      <c r="NV22" s="1147">
        <f>[1]Субсидия_факт!MB20</f>
        <v>0</v>
      </c>
      <c r="NW22" s="682">
        <f>[1]Субсидия_факт!MH20</f>
        <v>0</v>
      </c>
      <c r="NX22" s="521">
        <f t="shared" si="154"/>
        <v>10887673.76</v>
      </c>
      <c r="NY22" s="474"/>
      <c r="NZ22" s="686"/>
      <c r="OA22" s="474">
        <v>544383.68000000005</v>
      </c>
      <c r="OB22" s="686">
        <v>10343290.08</v>
      </c>
      <c r="OC22" s="342"/>
      <c r="OD22" s="1279"/>
      <c r="OE22" s="521">
        <f t="shared" si="155"/>
        <v>0</v>
      </c>
      <c r="OF22" s="652">
        <f>[1]Субсидия_факт!KJ20</f>
        <v>0</v>
      </c>
      <c r="OG22" s="682">
        <f>[1]Субсидия_факт!KN20</f>
        <v>0</v>
      </c>
      <c r="OH22" s="652">
        <f>[1]Субсидия_факт!LL20</f>
        <v>0</v>
      </c>
      <c r="OI22" s="682">
        <f>[1]Субсидия_факт!LP20</f>
        <v>0</v>
      </c>
      <c r="OJ22" s="652">
        <f>[1]Субсидия_факт!MD20</f>
        <v>0</v>
      </c>
      <c r="OK22" s="682">
        <f>[1]Субсидия_факт!MJ20</f>
        <v>0</v>
      </c>
      <c r="OL22" s="521">
        <f t="shared" si="156"/>
        <v>0</v>
      </c>
      <c r="OM22" s="487"/>
      <c r="ON22" s="712"/>
      <c r="OO22" s="474"/>
      <c r="OP22" s="686"/>
      <c r="OQ22" s="487"/>
      <c r="OR22" s="712"/>
      <c r="OS22" s="587">
        <f t="shared" si="157"/>
        <v>0</v>
      </c>
      <c r="OT22" s="1066">
        <f t="shared" si="74"/>
        <v>0</v>
      </c>
      <c r="OU22" s="682">
        <f t="shared" si="75"/>
        <v>0</v>
      </c>
      <c r="OV22" s="1066">
        <f t="shared" si="76"/>
        <v>0</v>
      </c>
      <c r="OW22" s="682">
        <f t="shared" si="77"/>
        <v>0</v>
      </c>
      <c r="OX22" s="1147">
        <f t="shared" si="78"/>
        <v>0</v>
      </c>
      <c r="OY22" s="682">
        <f t="shared" si="79"/>
        <v>0</v>
      </c>
      <c r="OZ22" s="587">
        <f t="shared" si="158"/>
        <v>0</v>
      </c>
      <c r="PA22" s="1066">
        <f t="shared" si="80"/>
        <v>0</v>
      </c>
      <c r="PB22" s="682">
        <f t="shared" si="81"/>
        <v>0</v>
      </c>
      <c r="PC22" s="1066">
        <f t="shared" si="82"/>
        <v>0</v>
      </c>
      <c r="PD22" s="682">
        <f t="shared" si="83"/>
        <v>0</v>
      </c>
      <c r="PE22" s="1147">
        <f t="shared" si="84"/>
        <v>0</v>
      </c>
      <c r="PF22" s="682">
        <f t="shared" si="85"/>
        <v>0</v>
      </c>
      <c r="PG22" s="587">
        <f t="shared" si="159"/>
        <v>0</v>
      </c>
      <c r="PH22" s="1079">
        <f>[1]Субсидия_факт!KL20</f>
        <v>0</v>
      </c>
      <c r="PI22" s="682">
        <f>[1]Субсидия_факт!KP20</f>
        <v>0</v>
      </c>
      <c r="PJ22" s="652">
        <f>[1]Субсидия_факт!LN20</f>
        <v>0</v>
      </c>
      <c r="PK22" s="682">
        <f>[1]Субсидия_факт!LR20</f>
        <v>0</v>
      </c>
      <c r="PL22" s="652">
        <f>[1]Субсидия_факт!MF20</f>
        <v>0</v>
      </c>
      <c r="PM22" s="682">
        <f>[1]Субсидия_факт!ML20</f>
        <v>0</v>
      </c>
      <c r="PN22" s="587">
        <f t="shared" si="160"/>
        <v>0</v>
      </c>
      <c r="PO22" s="487"/>
      <c r="PP22" s="712"/>
      <c r="PQ22" s="474"/>
      <c r="PR22" s="686"/>
      <c r="PS22" s="487"/>
      <c r="PT22" s="712"/>
      <c r="PU22" s="466">
        <f t="shared" si="161"/>
        <v>10601589.470000001</v>
      </c>
      <c r="PV22" s="516">
        <f>[1]Субсидия_факт!MR20</f>
        <v>530079.47</v>
      </c>
      <c r="PW22" s="838">
        <f>[1]Субсидия_факт!MX20</f>
        <v>10071510</v>
      </c>
      <c r="PX22" s="466">
        <f t="shared" si="162"/>
        <v>0</v>
      </c>
      <c r="PY22" s="724"/>
      <c r="PZ22" s="678"/>
      <c r="QA22" s="579">
        <f t="shared" si="163"/>
        <v>1568000</v>
      </c>
      <c r="QB22" s="516">
        <f>[1]Субсидия_факт!MT20</f>
        <v>78400</v>
      </c>
      <c r="QC22" s="838">
        <f>[1]Субсидия_факт!MZ20</f>
        <v>1489600</v>
      </c>
      <c r="QD22" s="466">
        <f t="shared" si="164"/>
        <v>0</v>
      </c>
      <c r="QE22" s="724"/>
      <c r="QF22" s="987"/>
      <c r="QG22" s="669">
        <f t="shared" si="165"/>
        <v>1568000</v>
      </c>
      <c r="QH22" s="516">
        <f t="shared" si="166"/>
        <v>78400</v>
      </c>
      <c r="QI22" s="838">
        <f t="shared" si="167"/>
        <v>1489600</v>
      </c>
      <c r="QJ22" s="669">
        <f t="shared" si="168"/>
        <v>0</v>
      </c>
      <c r="QK22" s="516">
        <f t="shared" si="169"/>
        <v>0</v>
      </c>
      <c r="QL22" s="838">
        <f t="shared" si="170"/>
        <v>0</v>
      </c>
      <c r="QM22" s="669">
        <f t="shared" si="171"/>
        <v>0</v>
      </c>
      <c r="QN22" s="516">
        <f>[1]Субсидия_факт!MV20</f>
        <v>0</v>
      </c>
      <c r="QO22" s="838">
        <f>[1]Субсидия_факт!NB20</f>
        <v>0</v>
      </c>
      <c r="QP22" s="669">
        <f t="shared" si="172"/>
        <v>0</v>
      </c>
      <c r="QQ22" s="516">
        <f>[1]Субсидия_факт!NI20</f>
        <v>0</v>
      </c>
      <c r="QR22" s="752">
        <f>[1]Субсидия_факт!NO20</f>
        <v>0</v>
      </c>
      <c r="QS22" s="521">
        <f>'Прочая  субсидия_МР  и  ГО'!B18</f>
        <v>5974415.04</v>
      </c>
      <c r="QT22" s="521">
        <f>'Прочая  субсидия_МР  и  ГО'!C18</f>
        <v>1819834.8</v>
      </c>
      <c r="QU22" s="524">
        <f>'Прочая  субсидия_БП'!B18</f>
        <v>17747575.68</v>
      </c>
      <c r="QV22" s="526">
        <f>'Прочая  субсидия_БП'!C18</f>
        <v>14712434.16</v>
      </c>
      <c r="QW22" s="583">
        <f>'Прочая  субсидия_БП'!D18</f>
        <v>2918663.79</v>
      </c>
      <c r="QX22" s="582">
        <f>'Прочая  субсидия_БП'!E18</f>
        <v>283435.40999999997</v>
      </c>
      <c r="QY22" s="588">
        <f>'Прочая  субсидия_БП'!F18</f>
        <v>14828911.890000001</v>
      </c>
      <c r="QZ22" s="583">
        <f>'Прочая  субсидия_БП'!G18</f>
        <v>14428998.75</v>
      </c>
      <c r="RA22" s="526">
        <f t="shared" si="173"/>
        <v>439286551.45000005</v>
      </c>
      <c r="RB22" s="525">
        <f>'Проверочная  таблица'!SF22+'Проверочная  таблица'!RG22+'Проверочная  таблица'!RI22+'Проверочная  таблица'!RK22+RX22</f>
        <v>422108252.06000006</v>
      </c>
      <c r="RC22" s="508">
        <f>'Проверочная  таблица'!SG22+'Проверочная  таблица'!RM22+'Проверочная  таблица'!RS22+'Проверочная  таблица'!RO22+'Проверочная  таблица'!RQ22+RU22+RY22+SC22</f>
        <v>17178299.390000001</v>
      </c>
      <c r="RD22" s="521">
        <f t="shared" si="174"/>
        <v>342544241.18000001</v>
      </c>
      <c r="RE22" s="506">
        <f>'Проверочная  таблица'!SI22+'Проверочная  таблица'!RH22+'Проверочная  таблица'!RJ22+'Проверочная  таблица'!RL22+SA22</f>
        <v>333908195.38</v>
      </c>
      <c r="RF22" s="508">
        <f>'Проверочная  таблица'!SJ22+'Проверочная  таблица'!RN22+'Проверочная  таблица'!RT22+'Проверочная  таблица'!RP22+'Проверочная  таблица'!RR22+RV22+SB22+SD22</f>
        <v>8636045.8000000007</v>
      </c>
      <c r="RG22" s="579">
        <f>'Субвенция  на  полномочия'!B18</f>
        <v>400643200.59000003</v>
      </c>
      <c r="RH22" s="466">
        <f>'Субвенция  на  полномочия'!C18</f>
        <v>319229637.5</v>
      </c>
      <c r="RI22" s="733">
        <f>[1]Субвенция_факт!Q19*1000</f>
        <v>11460743</v>
      </c>
      <c r="RJ22" s="736">
        <v>8600000</v>
      </c>
      <c r="RK22" s="733">
        <f>[1]Субвенция_факт!J19*1000</f>
        <v>4074332.0000000005</v>
      </c>
      <c r="RL22" s="736">
        <v>2800000</v>
      </c>
      <c r="RM22" s="733">
        <f>[1]Субвенция_факт!AE19*1000</f>
        <v>2032400</v>
      </c>
      <c r="RN22" s="736">
        <v>1149227.0999999999</v>
      </c>
      <c r="RO22" s="733">
        <f>[1]Субвенция_факт!AF19*1000</f>
        <v>4000</v>
      </c>
      <c r="RP22" s="736">
        <v>0</v>
      </c>
      <c r="RQ22" s="733">
        <f>[1]Субвенция_факт!E19*1000</f>
        <v>0</v>
      </c>
      <c r="RR22" s="736"/>
      <c r="RS22" s="733">
        <f>[1]Субвенция_факт!F19*1000</f>
        <v>0</v>
      </c>
      <c r="RT22" s="827"/>
      <c r="RU22" s="170">
        <f>[1]Субвенция_факт!G19*1000</f>
        <v>0</v>
      </c>
      <c r="RV22" s="1109"/>
      <c r="RW22" s="521">
        <f t="shared" si="88"/>
        <v>17745112.379999999</v>
      </c>
      <c r="RX22" s="622">
        <f>[1]Субвенция_факт!N19*1000</f>
        <v>4968631.47</v>
      </c>
      <c r="RY22" s="682">
        <f>[1]Субвенция_факт!O19*1000</f>
        <v>12776480.91</v>
      </c>
      <c r="RZ22" s="521">
        <f t="shared" si="89"/>
        <v>8866278.1400000006</v>
      </c>
      <c r="SA22" s="773">
        <v>2482557.88</v>
      </c>
      <c r="SB22" s="1279">
        <v>6383720.2599999998</v>
      </c>
      <c r="SC22" s="170">
        <f>[1]Субвенция_факт!AG19*1000</f>
        <v>565418.4800000001</v>
      </c>
      <c r="SD22" s="1277"/>
      <c r="SE22" s="498">
        <f t="shared" si="175"/>
        <v>2761345</v>
      </c>
      <c r="SF22" s="833">
        <f>[1]Субвенция_факт!AD19*1000</f>
        <v>961345</v>
      </c>
      <c r="SG22" s="1562">
        <f>[1]Субвенция_факт!AC19*1000</f>
        <v>1800000</v>
      </c>
      <c r="SH22" s="521">
        <f t="shared" si="176"/>
        <v>1899098.44</v>
      </c>
      <c r="SI22" s="1557">
        <v>796000</v>
      </c>
      <c r="SJ22" s="1635">
        <v>1103098.44</v>
      </c>
      <c r="SK22" s="280">
        <f>'Проверочная  таблица'!VC22+'Проверочная  таблица'!UO22+'Проверочная  таблица'!SY22+'Проверочная  таблица'!TC22+UA22+UG22+TK22+TQ22+SM22+SS22</f>
        <v>138161983</v>
      </c>
      <c r="SL22" s="170">
        <f>'Проверочная  таблица'!VF22+'Проверочная  таблица'!UV22+'Проверочная  таблица'!TA22+'Проверочная  таблица'!TE22+UD22+UK22+TN22+TT22+SP22+SV22</f>
        <v>72725870.879999995</v>
      </c>
      <c r="SM22" s="524">
        <f t="shared" si="92"/>
        <v>19139400</v>
      </c>
      <c r="SN22" s="833">
        <f>'[1]Иные межбюджетные трансферты'!I20</f>
        <v>0</v>
      </c>
      <c r="SO22" s="880">
        <f>'[1]Иные межбюджетные трансферты'!K20</f>
        <v>19139400</v>
      </c>
      <c r="SP22" s="521">
        <f t="shared" si="93"/>
        <v>12967920</v>
      </c>
      <c r="SQ22" s="1421"/>
      <c r="SR22" s="1422">
        <v>12967920</v>
      </c>
      <c r="SS22" s="521">
        <f t="shared" si="177"/>
        <v>0</v>
      </c>
      <c r="ST22" s="1082">
        <f>'[1]Иные межбюджетные трансферты'!Y20</f>
        <v>0</v>
      </c>
      <c r="SU22" s="1630">
        <f>'[1]Иные межбюджетные трансферты'!AE20</f>
        <v>0</v>
      </c>
      <c r="SV22" s="521">
        <f t="shared" si="178"/>
        <v>0</v>
      </c>
      <c r="SW22" s="906"/>
      <c r="SX22" s="1422"/>
      <c r="SY22" s="1254">
        <f t="shared" si="94"/>
        <v>0</v>
      </c>
      <c r="SZ22" s="1009">
        <f>'[1]Иные межбюджетные трансферты'!AG20</f>
        <v>0</v>
      </c>
      <c r="TA22" s="899">
        <f t="shared" si="95"/>
        <v>0</v>
      </c>
      <c r="TB22" s="1422"/>
      <c r="TC22" s="903">
        <f t="shared" si="96"/>
        <v>0</v>
      </c>
      <c r="TD22" s="1009">
        <f>'[1]Иные межбюджетные трансферты'!AI20</f>
        <v>0</v>
      </c>
      <c r="TE22" s="899">
        <f t="shared" si="97"/>
        <v>0</v>
      </c>
      <c r="TF22" s="1082"/>
      <c r="TG22" s="901">
        <f t="shared" si="98"/>
        <v>0</v>
      </c>
      <c r="TH22" s="897">
        <f t="shared" si="99"/>
        <v>0</v>
      </c>
      <c r="TI22" s="1086">
        <f t="shared" si="179"/>
        <v>0</v>
      </c>
      <c r="TJ22" s="897">
        <f t="shared" si="180"/>
        <v>0</v>
      </c>
      <c r="TK22" s="903">
        <f t="shared" si="181"/>
        <v>0</v>
      </c>
      <c r="TL22" s="1079"/>
      <c r="TM22" s="682"/>
      <c r="TN22" s="903">
        <f t="shared" si="182"/>
        <v>0</v>
      </c>
      <c r="TO22" s="773"/>
      <c r="TP22" s="686"/>
      <c r="TQ22" s="903">
        <f t="shared" si="183"/>
        <v>74500000</v>
      </c>
      <c r="TR22" s="1079">
        <f>'[1]Иные межбюджетные трансферты'!AQ20</f>
        <v>24500000</v>
      </c>
      <c r="TS22" s="682">
        <f>'[1]Иные межбюджетные трансферты'!AU20</f>
        <v>50000000</v>
      </c>
      <c r="TT22" s="899">
        <f t="shared" si="184"/>
        <v>48037649.689999998</v>
      </c>
      <c r="TU22" s="753"/>
      <c r="TV22" s="771">
        <v>48037649.689999998</v>
      </c>
      <c r="TW22" s="820">
        <f t="shared" si="185"/>
        <v>0</v>
      </c>
      <c r="TX22" s="820">
        <f t="shared" si="186"/>
        <v>0</v>
      </c>
      <c r="TY22" s="820">
        <f t="shared" si="187"/>
        <v>74500000</v>
      </c>
      <c r="TZ22" s="1199">
        <f t="shared" si="188"/>
        <v>48037649.689999998</v>
      </c>
      <c r="UA22" s="1134">
        <f t="shared" si="100"/>
        <v>0</v>
      </c>
      <c r="UB22" s="945">
        <f>'[1]Иные межбюджетные трансферты'!U20</f>
        <v>0</v>
      </c>
      <c r="UC22" s="1133">
        <f>'[1]Иные межбюджетные трансферты'!W20</f>
        <v>0</v>
      </c>
      <c r="UD22" s="734">
        <f t="shared" si="101"/>
        <v>0</v>
      </c>
      <c r="UE22" s="945"/>
      <c r="UF22" s="1133"/>
      <c r="UG22" s="734">
        <f t="shared" si="189"/>
        <v>0</v>
      </c>
      <c r="UH22" s="945">
        <f>'[1]Иные межбюджетные трансферты'!O20</f>
        <v>0</v>
      </c>
      <c r="UI22" s="1133">
        <f>'[1]Иные межбюджетные трансферты'!Q20</f>
        <v>0</v>
      </c>
      <c r="UJ22" s="1133">
        <f>'[1]Иные межбюджетные трансферты'!S20</f>
        <v>0</v>
      </c>
      <c r="UK22" s="734">
        <f t="shared" si="190"/>
        <v>0</v>
      </c>
      <c r="UL22" s="1513"/>
      <c r="UM22" s="1426"/>
      <c r="UN22" s="1624"/>
      <c r="UO22" s="1585">
        <f t="shared" si="191"/>
        <v>41249446.369999997</v>
      </c>
      <c r="UP22" s="833">
        <f>'[1]Иные межбюджетные трансферты'!E20</f>
        <v>0</v>
      </c>
      <c r="UQ22" s="880">
        <f>'[1]Иные межбюджетные трансферты'!G20</f>
        <v>0</v>
      </c>
      <c r="UR22" s="830">
        <f>'[1]Иные межбюджетные трансферты'!M20</f>
        <v>39969462</v>
      </c>
      <c r="US22" s="1044"/>
      <c r="UT22" s="1498">
        <f>'[1]Иные межбюджетные трансферты'!AY20</f>
        <v>0</v>
      </c>
      <c r="UU22" s="1539">
        <f>'[1]Иные межбюджетные трансферты'!BA20</f>
        <v>1279984.3699999999</v>
      </c>
      <c r="UV22" s="834">
        <f t="shared" si="192"/>
        <v>8447164.5600000005</v>
      </c>
      <c r="UW22" s="908"/>
      <c r="UX22" s="906"/>
      <c r="UY22" s="1425">
        <v>7167180.1900000004</v>
      </c>
      <c r="UZ22" s="516"/>
      <c r="VA22" s="518">
        <f t="shared" si="102"/>
        <v>0</v>
      </c>
      <c r="VB22" s="516">
        <f t="shared" si="193"/>
        <v>1279984.3699999999</v>
      </c>
      <c r="VC22" s="899">
        <f t="shared" si="194"/>
        <v>3273136.63</v>
      </c>
      <c r="VD22" s="830">
        <f>'[1]Иные межбюджетные трансферты'!AM20</f>
        <v>0</v>
      </c>
      <c r="VE22" s="1587">
        <f>'[1]Иные межбюджетные трансферты'!BC20</f>
        <v>3273136.63</v>
      </c>
      <c r="VF22" s="1495">
        <f t="shared" si="195"/>
        <v>3273136.63</v>
      </c>
      <c r="VG22" s="753"/>
      <c r="VH22" s="1251">
        <f t="shared" si="196"/>
        <v>3273136.63</v>
      </c>
      <c r="VI22" s="1199">
        <f t="shared" si="197"/>
        <v>3273136.63</v>
      </c>
      <c r="VJ22" s="516">
        <f>'Проверочная  таблица'!VD22-VP22</f>
        <v>0</v>
      </c>
      <c r="VK22" s="516">
        <f>'Проверочная  таблица'!VE22-VQ22</f>
        <v>3273136.63</v>
      </c>
      <c r="VL22" s="1199">
        <f t="shared" si="198"/>
        <v>3273136.63</v>
      </c>
      <c r="VM22" s="516">
        <f>'Проверочная  таблица'!VG22-VS22</f>
        <v>0</v>
      </c>
      <c r="VN22" s="516">
        <f>'Проверочная  таблица'!VH22-VT22</f>
        <v>3273136.63</v>
      </c>
      <c r="VO22" s="1199">
        <f t="shared" si="199"/>
        <v>0</v>
      </c>
      <c r="VP22" s="833">
        <f>'[1]Иные межбюджетные трансферты'!AO20</f>
        <v>0</v>
      </c>
      <c r="VQ22" s="830">
        <f>'[1]Иные межбюджетные трансферты'!BE20</f>
        <v>0</v>
      </c>
      <c r="VR22" s="1501">
        <f t="shared" si="200"/>
        <v>0</v>
      </c>
      <c r="VS22" s="1492"/>
      <c r="VT22" s="518">
        <f t="shared" si="201"/>
        <v>0</v>
      </c>
      <c r="VU22" s="521">
        <f>VW22+'Проверочная  таблица'!WE22+WA22+'Проверочная  таблица'!WI22+WC22+'Проверочная  таблица'!WK22</f>
        <v>0</v>
      </c>
      <c r="VV22" s="521">
        <f>VX22+'Проверочная  таблица'!WF22+WB22+'Проверочная  таблица'!WJ22+WD22+'Проверочная  таблица'!WL22</f>
        <v>0</v>
      </c>
      <c r="VW22" s="533"/>
      <c r="VX22" s="533"/>
      <c r="VY22" s="533"/>
      <c r="VZ22" s="533"/>
      <c r="WA22" s="530">
        <f t="shared" si="103"/>
        <v>0</v>
      </c>
      <c r="WB22" s="528">
        <f t="shared" si="104"/>
        <v>0</v>
      </c>
      <c r="WC22" s="534"/>
      <c r="WD22" s="523"/>
      <c r="WE22" s="533"/>
      <c r="WF22" s="533"/>
      <c r="WG22" s="533"/>
      <c r="WH22" s="533"/>
      <c r="WI22" s="530">
        <f t="shared" si="105"/>
        <v>0</v>
      </c>
      <c r="WJ22" s="528">
        <f t="shared" si="106"/>
        <v>0</v>
      </c>
      <c r="WK22" s="523"/>
      <c r="WL22" s="523"/>
      <c r="WM22" s="252">
        <f>'Проверочная  таблица'!WE22+'Проверочная  таблица'!WG22</f>
        <v>0</v>
      </c>
      <c r="WN22" s="252">
        <f>'Проверочная  таблица'!WF22+'Проверочная  таблица'!WH22</f>
        <v>0</v>
      </c>
      <c r="WO22" s="1042"/>
    </row>
    <row r="23" spans="1:613" s="338" customFormat="1" ht="25.5" customHeight="1" x14ac:dyDescent="0.25">
      <c r="A23" s="347" t="s">
        <v>90</v>
      </c>
      <c r="B23" s="526">
        <f>D23+AI23+'Проверочная  таблица'!RA23+'Проверочная  таблица'!SK23</f>
        <v>449066821.10000002</v>
      </c>
      <c r="C23" s="521">
        <f>E23+'Проверочная  таблица'!RD23+AJ23+'Проверочная  таблица'!SL23</f>
        <v>334397915.13</v>
      </c>
      <c r="D23" s="524">
        <f t="shared" si="0"/>
        <v>83816062</v>
      </c>
      <c r="E23" s="526">
        <f t="shared" si="1"/>
        <v>68425407</v>
      </c>
      <c r="F23" s="581">
        <f>'[1]Дотация  из  ОБ_факт'!M19</f>
        <v>23625300</v>
      </c>
      <c r="G23" s="963">
        <v>17979525</v>
      </c>
      <c r="H23" s="581">
        <f>'[1]Дотация  из  ОБ_факт'!G19</f>
        <v>9845540</v>
      </c>
      <c r="I23" s="963">
        <v>7758290</v>
      </c>
      <c r="J23" s="582">
        <f t="shared" si="2"/>
        <v>9845540</v>
      </c>
      <c r="K23" s="588">
        <f t="shared" si="3"/>
        <v>7758290</v>
      </c>
      <c r="L23" s="835">
        <f>'[1]Дотация  из  ОБ_факт'!K19</f>
        <v>0</v>
      </c>
      <c r="M23" s="1446"/>
      <c r="N23" s="581">
        <f>'[1]Дотация  из  ОБ_факт'!Q19</f>
        <v>23798050</v>
      </c>
      <c r="O23" s="963">
        <v>21320000</v>
      </c>
      <c r="P23" s="581">
        <f>'[1]Дотация  из  ОБ_факт'!S19</f>
        <v>25577172</v>
      </c>
      <c r="Q23" s="1442">
        <v>20397592</v>
      </c>
      <c r="R23" s="588">
        <f t="shared" si="4"/>
        <v>25577172</v>
      </c>
      <c r="S23" s="583">
        <f t="shared" si="5"/>
        <v>20397592</v>
      </c>
      <c r="T23" s="835">
        <f>'[1]Дотация  из  ОБ_факт'!W19</f>
        <v>0</v>
      </c>
      <c r="U23" s="1448"/>
      <c r="V23" s="581">
        <f>'[1]Дотация  из  ОБ_факт'!AA19+'[1]Дотация  из  ОБ_факт'!AC19+'[1]Дотация  из  ОБ_факт'!AG19</f>
        <v>800000</v>
      </c>
      <c r="W23" s="461">
        <f t="shared" si="6"/>
        <v>800000</v>
      </c>
      <c r="X23" s="585"/>
      <c r="Y23" s="584">
        <v>800000</v>
      </c>
      <c r="Z23" s="585"/>
      <c r="AA23" s="581">
        <f>'[1]Дотация  из  ОБ_факт'!Y19+'[1]Дотация  из  ОБ_факт'!AE19</f>
        <v>170000</v>
      </c>
      <c r="AB23" s="172">
        <f t="shared" si="7"/>
        <v>170000</v>
      </c>
      <c r="AC23" s="584">
        <v>170000</v>
      </c>
      <c r="AD23" s="585"/>
      <c r="AE23" s="582">
        <f t="shared" si="8"/>
        <v>170000</v>
      </c>
      <c r="AF23" s="588">
        <f t="shared" si="9"/>
        <v>170000</v>
      </c>
      <c r="AG23" s="1187">
        <f>'[1]Дотация  из  ОБ_факт'!AE19</f>
        <v>0</v>
      </c>
      <c r="AH23" s="1480">
        <f t="shared" si="107"/>
        <v>0</v>
      </c>
      <c r="AI23" s="579">
        <f>'Проверочная  таблица'!KW23+'Проверочная  таблица'!QS23+'Проверочная  таблица'!QU23+CS23+CU23+DA23+DC23+BU23+CE23+'Проверочная  таблица'!IQ23+'Проверочная  таблица'!JK23+'Проверочная  таблица'!EE23+'Проверочная  таблица'!KO23+DQ23+'Проверочная  таблица'!HQ23+'Проверочная  таблица'!HW23+'Проверочная  таблица'!LA23+'Проверочная  таблица'!LI23+HK23+FQ23+FE23+NK23+EY23+AK23+AW23+FK23+GM23+GS23+DI23+NQ23+FW23+EK23+OE23+MG23+GG23+PU23+QA23</f>
        <v>80327629.11999999</v>
      </c>
      <c r="AJ23" s="498">
        <f>'Проверочная  таблица'!KY23+'Проверочная  таблица'!QT23+'Проверочная  таблица'!QV23+CT23+CV23+DB23+DD23+BZ23+CJ23+'Проверочная  таблица'!JA23+'Проверочная  таблица'!JP23+'Проверочная  таблица'!EH23+'Проверочная  таблица'!KS23+DX23+'Проверочная  таблица'!HT23+'Проверочная  таблица'!HZ23+'Проверочная  таблица'!LE23+'Проверочная  таблица'!LM23+HN23+FN23+FT23+FH23+NN23+FB23+AQ23+BA23+GP23+GV23+DM23+NX23+FZ23+ER23+OL23+ML23+GJ23+PX23+QD23</f>
        <v>59205027.459999993</v>
      </c>
      <c r="AK23" s="466">
        <f t="shared" si="108"/>
        <v>0</v>
      </c>
      <c r="AL23" s="525">
        <f>[1]Субсидия_факт!CD21</f>
        <v>0</v>
      </c>
      <c r="AM23" s="508">
        <f>[1]Субсидия_факт!EX21</f>
        <v>0</v>
      </c>
      <c r="AN23" s="506">
        <f>[1]Субсидия_факт!FJ21</f>
        <v>0</v>
      </c>
      <c r="AO23" s="525">
        <f>[1]Субсидия_факт!LT21</f>
        <v>0</v>
      </c>
      <c r="AP23" s="622">
        <f>[1]Субсидия_факт!LZ21</f>
        <v>0</v>
      </c>
      <c r="AQ23" s="748">
        <f t="shared" si="109"/>
        <v>0</v>
      </c>
      <c r="AR23" s="474"/>
      <c r="AS23" s="474"/>
      <c r="AT23" s="474"/>
      <c r="AU23" s="474"/>
      <c r="AV23" s="531"/>
      <c r="AW23" s="498">
        <f t="shared" si="10"/>
        <v>0</v>
      </c>
      <c r="AX23" s="525">
        <f>[1]Субсидия_факт!CF21</f>
        <v>0</v>
      </c>
      <c r="AY23" s="508">
        <f>[1]Субсидия_факт!FB21</f>
        <v>0</v>
      </c>
      <c r="AZ23" s="646">
        <f>[1]Субсидия_факт!LV21</f>
        <v>0</v>
      </c>
      <c r="BA23" s="466">
        <f t="shared" si="11"/>
        <v>0</v>
      </c>
      <c r="BB23" s="531"/>
      <c r="BC23" s="531"/>
      <c r="BD23" s="532"/>
      <c r="BE23" s="669">
        <f t="shared" si="12"/>
        <v>0</v>
      </c>
      <c r="BF23" s="652">
        <f t="shared" si="13"/>
        <v>0</v>
      </c>
      <c r="BG23" s="464">
        <f t="shared" si="14"/>
        <v>0</v>
      </c>
      <c r="BH23" s="341">
        <f t="shared" si="15"/>
        <v>0</v>
      </c>
      <c r="BI23" s="669">
        <f t="shared" si="16"/>
        <v>0</v>
      </c>
      <c r="BJ23" s="622">
        <f t="shared" si="17"/>
        <v>0</v>
      </c>
      <c r="BK23" s="506">
        <f t="shared" si="18"/>
        <v>0</v>
      </c>
      <c r="BL23" s="341">
        <f t="shared" si="19"/>
        <v>0</v>
      </c>
      <c r="BM23" s="667">
        <f t="shared" si="20"/>
        <v>0</v>
      </c>
      <c r="BN23" s="525">
        <f>[1]Субсидия_факт!CH21</f>
        <v>0</v>
      </c>
      <c r="BO23" s="508">
        <f>[1]Субсидия_факт!FD21</f>
        <v>0</v>
      </c>
      <c r="BP23" s="646">
        <f>[1]Субсидия_факт!LX21</f>
        <v>0</v>
      </c>
      <c r="BQ23" s="669">
        <f t="shared" si="21"/>
        <v>0</v>
      </c>
      <c r="BR23" s="532"/>
      <c r="BS23" s="531"/>
      <c r="BT23" s="532"/>
      <c r="BU23" s="521">
        <f t="shared" si="110"/>
        <v>13661028.34</v>
      </c>
      <c r="BV23" s="562">
        <f>[1]Субсидия_факт!HB21</f>
        <v>0</v>
      </c>
      <c r="BW23" s="516">
        <f>[1]Субсидия_факт!HH21</f>
        <v>13661028.34</v>
      </c>
      <c r="BX23" s="531">
        <f>[1]Субсидия_факт!HP21</f>
        <v>0</v>
      </c>
      <c r="BY23" s="562">
        <f>[1]Субсидия_факт!HV21</f>
        <v>0</v>
      </c>
      <c r="BZ23" s="521">
        <f t="shared" si="111"/>
        <v>13594364.57</v>
      </c>
      <c r="CA23" s="531"/>
      <c r="CB23" s="531">
        <v>13594364.57</v>
      </c>
      <c r="CC23" s="625"/>
      <c r="CD23" s="625"/>
      <c r="CE23" s="526">
        <f t="shared" si="112"/>
        <v>0</v>
      </c>
      <c r="CF23" s="525">
        <f>[1]Субсидия_факт!HD21</f>
        <v>0</v>
      </c>
      <c r="CG23" s="525">
        <f>[1]Субсидия_факт!HJ21</f>
        <v>0</v>
      </c>
      <c r="CH23" s="531">
        <f>[1]Субсидия_факт!HR21</f>
        <v>0</v>
      </c>
      <c r="CI23" s="646">
        <f>[1]Субсидия_факт!HX21</f>
        <v>0</v>
      </c>
      <c r="CJ23" s="521">
        <f t="shared" si="113"/>
        <v>0</v>
      </c>
      <c r="CK23" s="531"/>
      <c r="CL23" s="532"/>
      <c r="CM23" s="625"/>
      <c r="CN23" s="724"/>
      <c r="CO23" s="530">
        <f t="shared" si="22"/>
        <v>0</v>
      </c>
      <c r="CP23" s="528">
        <f t="shared" si="23"/>
        <v>0</v>
      </c>
      <c r="CQ23" s="527">
        <f t="shared" si="114"/>
        <v>0</v>
      </c>
      <c r="CR23" s="530">
        <f t="shared" si="115"/>
        <v>0</v>
      </c>
      <c r="CS23" s="521">
        <f>[1]Субсидия_факт!FL21</f>
        <v>0</v>
      </c>
      <c r="CT23" s="620"/>
      <c r="CU23" s="521">
        <f>[1]Субсидия_факт!FN21</f>
        <v>0</v>
      </c>
      <c r="CV23" s="620"/>
      <c r="CW23" s="528">
        <f t="shared" si="24"/>
        <v>0</v>
      </c>
      <c r="CX23" s="527">
        <f t="shared" si="25"/>
        <v>0</v>
      </c>
      <c r="CY23" s="587">
        <f>[1]Субсидия_факт!FP21</f>
        <v>0</v>
      </c>
      <c r="CZ23" s="1480">
        <f t="shared" si="205"/>
        <v>0</v>
      </c>
      <c r="DA23" s="526">
        <f>[1]Субсидия_факт!FR21</f>
        <v>0</v>
      </c>
      <c r="DB23" s="339"/>
      <c r="DC23" s="524">
        <f>[1]Субсидия_факт!FT21</f>
        <v>0</v>
      </c>
      <c r="DD23" s="339"/>
      <c r="DE23" s="1238">
        <f t="shared" si="26"/>
        <v>0</v>
      </c>
      <c r="DF23" s="528">
        <f t="shared" si="27"/>
        <v>0</v>
      </c>
      <c r="DG23" s="663">
        <f>[1]Субсидия_факт!FV21</f>
        <v>0</v>
      </c>
      <c r="DH23" s="1478">
        <f t="shared" si="116"/>
        <v>0</v>
      </c>
      <c r="DI23" s="498">
        <f t="shared" si="117"/>
        <v>48301278.299999997</v>
      </c>
      <c r="DJ23" s="625">
        <f>[1]Субсидия_факт!EV21</f>
        <v>0</v>
      </c>
      <c r="DK23" s="516">
        <f>[1]Субсидия_факт!EL21</f>
        <v>4121278.3</v>
      </c>
      <c r="DL23" s="838">
        <f>[1]Субсидия_факт!EN21</f>
        <v>44180000</v>
      </c>
      <c r="DM23" s="466">
        <f t="shared" si="118"/>
        <v>39769815.189999998</v>
      </c>
      <c r="DN23" s="625"/>
      <c r="DO23" s="625">
        <v>7027059.0899999999</v>
      </c>
      <c r="DP23" s="987">
        <v>32742756.100000001</v>
      </c>
      <c r="DQ23" s="526">
        <f t="shared" si="28"/>
        <v>0</v>
      </c>
      <c r="DR23" s="508">
        <f>[1]Субсидия_факт!N21</f>
        <v>0</v>
      </c>
      <c r="DS23" s="652">
        <f>[1]Субсидия_факт!P21</f>
        <v>0</v>
      </c>
      <c r="DT23" s="682">
        <f>[1]Субсидия_факт!R21</f>
        <v>0</v>
      </c>
      <c r="DU23" s="506">
        <f>[1]Субсидия_факт!T21</f>
        <v>0</v>
      </c>
      <c r="DV23" s="689">
        <f>[1]Субсидия_факт!V21</f>
        <v>0</v>
      </c>
      <c r="DW23" s="506">
        <f>[1]Субсидия_факт!X21</f>
        <v>0</v>
      </c>
      <c r="DX23" s="521">
        <f t="shared" si="29"/>
        <v>0</v>
      </c>
      <c r="DY23" s="532"/>
      <c r="DZ23" s="531"/>
      <c r="EA23" s="686"/>
      <c r="EB23" s="531"/>
      <c r="EC23" s="686"/>
      <c r="ED23" s="531"/>
      <c r="EE23" s="498">
        <f t="shared" si="30"/>
        <v>0</v>
      </c>
      <c r="EF23" s="516">
        <f>[1]Субсидия_факт!BL21</f>
        <v>0</v>
      </c>
      <c r="EG23" s="838">
        <f>[1]Субсидия_факт!BN21</f>
        <v>0</v>
      </c>
      <c r="EH23" s="466">
        <f t="shared" si="31"/>
        <v>0</v>
      </c>
      <c r="EI23" s="772"/>
      <c r="EJ23" s="987"/>
      <c r="EK23" s="526">
        <f t="shared" si="32"/>
        <v>0</v>
      </c>
      <c r="EL23" s="525">
        <f>[1]Субсидия_факт!AF21</f>
        <v>0</v>
      </c>
      <c r="EM23" s="689">
        <f>[1]Субсидия_факт!AH21</f>
        <v>0</v>
      </c>
      <c r="EN23" s="506">
        <f>[1]Субсидия_факт!AJ21</f>
        <v>0</v>
      </c>
      <c r="EO23" s="866">
        <f>[1]Субсидия_факт!AL21</f>
        <v>0</v>
      </c>
      <c r="EP23" s="622">
        <f>[1]Субсидия_факт!AN21</f>
        <v>0</v>
      </c>
      <c r="EQ23" s="712">
        <f>[1]Субсидия_факт!AP21</f>
        <v>0</v>
      </c>
      <c r="ER23" s="521">
        <f t="shared" si="33"/>
        <v>0</v>
      </c>
      <c r="ES23" s="474"/>
      <c r="ET23" s="686"/>
      <c r="EU23" s="474"/>
      <c r="EV23" s="686"/>
      <c r="EW23" s="474"/>
      <c r="EX23" s="686"/>
      <c r="EY23" s="498">
        <f t="shared" si="34"/>
        <v>0</v>
      </c>
      <c r="EZ23" s="516">
        <f>[1]Субсидия_факт!AV21</f>
        <v>0</v>
      </c>
      <c r="FA23" s="752">
        <f>[1]Субсидия_факт!AX21</f>
        <v>0</v>
      </c>
      <c r="FB23" s="466">
        <f t="shared" si="35"/>
        <v>0</v>
      </c>
      <c r="FC23" s="772"/>
      <c r="FD23" s="678"/>
      <c r="FE23" s="498">
        <f t="shared" si="36"/>
        <v>0</v>
      </c>
      <c r="FF23" s="516">
        <f>[1]Субсидия_факт!BT21</f>
        <v>0</v>
      </c>
      <c r="FG23" s="838">
        <f>[1]Субсидия_факт!BV21</f>
        <v>0</v>
      </c>
      <c r="FH23" s="466">
        <f t="shared" si="37"/>
        <v>0</v>
      </c>
      <c r="FI23" s="772"/>
      <c r="FJ23" s="678"/>
      <c r="FK23" s="498">
        <f t="shared" si="38"/>
        <v>0</v>
      </c>
      <c r="FL23" s="516">
        <f>[1]Субсидия_факт!BP21</f>
        <v>0</v>
      </c>
      <c r="FM23" s="838">
        <f>[1]Субсидия_факт!BR21</f>
        <v>0</v>
      </c>
      <c r="FN23" s="466">
        <f t="shared" si="39"/>
        <v>0</v>
      </c>
      <c r="FO23" s="772"/>
      <c r="FP23" s="678"/>
      <c r="FQ23" s="498">
        <f t="shared" si="40"/>
        <v>0</v>
      </c>
      <c r="FR23" s="516">
        <f>[1]Субсидия_факт!IV21</f>
        <v>0</v>
      </c>
      <c r="FS23" s="838">
        <f>[1]Субсидия_факт!IX21</f>
        <v>0</v>
      </c>
      <c r="FT23" s="466">
        <f t="shared" si="41"/>
        <v>0</v>
      </c>
      <c r="FU23" s="772"/>
      <c r="FV23" s="678"/>
      <c r="FW23" s="498">
        <f t="shared" si="42"/>
        <v>0</v>
      </c>
      <c r="FX23" s="516">
        <f>[1]Субсидия_факт!IZ21</f>
        <v>0</v>
      </c>
      <c r="FY23" s="838">
        <f>[1]Субсидия_факт!JD21</f>
        <v>0</v>
      </c>
      <c r="FZ23" s="466">
        <f t="shared" si="43"/>
        <v>0</v>
      </c>
      <c r="GA23" s="772"/>
      <c r="GB23" s="678"/>
      <c r="GC23" s="667">
        <f t="shared" si="119"/>
        <v>0</v>
      </c>
      <c r="GD23" s="669">
        <f t="shared" si="120"/>
        <v>0</v>
      </c>
      <c r="GE23" s="667">
        <f t="shared" si="121"/>
        <v>0</v>
      </c>
      <c r="GF23" s="669">
        <f t="shared" si="122"/>
        <v>0</v>
      </c>
      <c r="GG23" s="498">
        <f t="shared" si="123"/>
        <v>0</v>
      </c>
      <c r="GH23" s="1251">
        <f>[1]Субсидия_факт!BH21</f>
        <v>0</v>
      </c>
      <c r="GI23" s="676">
        <f>[1]Субсидия_факт!BJ21</f>
        <v>0</v>
      </c>
      <c r="GJ23" s="498">
        <f t="shared" si="124"/>
        <v>0</v>
      </c>
      <c r="GK23" s="724"/>
      <c r="GL23" s="678"/>
      <c r="GM23" s="498">
        <f t="shared" si="44"/>
        <v>0</v>
      </c>
      <c r="GN23" s="516"/>
      <c r="GO23" s="838"/>
      <c r="GP23" s="466">
        <f t="shared" si="45"/>
        <v>0</v>
      </c>
      <c r="GQ23" s="724"/>
      <c r="GR23" s="678"/>
      <c r="GS23" s="498">
        <f t="shared" si="46"/>
        <v>0</v>
      </c>
      <c r="GT23" s="516">
        <f>[1]Субсидия_факт!FZ21</f>
        <v>0</v>
      </c>
      <c r="GU23" s="838">
        <f>[1]Субсидия_факт!GD21</f>
        <v>0</v>
      </c>
      <c r="GV23" s="466">
        <f t="shared" si="47"/>
        <v>0</v>
      </c>
      <c r="GW23" s="724"/>
      <c r="GX23" s="678"/>
      <c r="GY23" s="667">
        <f t="shared" si="48"/>
        <v>0</v>
      </c>
      <c r="GZ23" s="516">
        <f t="shared" si="125"/>
        <v>0</v>
      </c>
      <c r="HA23" s="838">
        <f t="shared" si="125"/>
        <v>0</v>
      </c>
      <c r="HB23" s="669">
        <f t="shared" si="49"/>
        <v>0</v>
      </c>
      <c r="HC23" s="516">
        <f t="shared" si="125"/>
        <v>0</v>
      </c>
      <c r="HD23" s="838">
        <f t="shared" si="125"/>
        <v>0</v>
      </c>
      <c r="HE23" s="667">
        <f t="shared" si="50"/>
        <v>0</v>
      </c>
      <c r="HF23" s="516">
        <f>[1]Субсидия_факт!GB21</f>
        <v>0</v>
      </c>
      <c r="HG23" s="838">
        <f>[1]Субсидия_факт!GF21</f>
        <v>0</v>
      </c>
      <c r="HH23" s="669">
        <f t="shared" si="51"/>
        <v>0</v>
      </c>
      <c r="HI23" s="724"/>
      <c r="HJ23" s="678"/>
      <c r="HK23" s="526">
        <f t="shared" si="126"/>
        <v>0</v>
      </c>
      <c r="HL23" s="518">
        <f>[1]Субсидия_факт!DD21</f>
        <v>0</v>
      </c>
      <c r="HM23" s="752">
        <f>[1]Субсидия_факт!DF21</f>
        <v>0</v>
      </c>
      <c r="HN23" s="521">
        <f t="shared" si="127"/>
        <v>0</v>
      </c>
      <c r="HO23" s="531"/>
      <c r="HP23" s="706"/>
      <c r="HQ23" s="579">
        <f t="shared" si="54"/>
        <v>123803.57</v>
      </c>
      <c r="HR23" s="516">
        <f>[1]Субсидия_факт!CR21</f>
        <v>34665</v>
      </c>
      <c r="HS23" s="838">
        <f>[1]Субсидия_факт!CX21</f>
        <v>89138.57</v>
      </c>
      <c r="HT23" s="466">
        <f t="shared" si="55"/>
        <v>123803.57</v>
      </c>
      <c r="HU23" s="1251">
        <f t="shared" si="211"/>
        <v>34665</v>
      </c>
      <c r="HV23" s="1519">
        <f t="shared" si="211"/>
        <v>89138.57</v>
      </c>
      <c r="HW23" s="466">
        <f t="shared" si="56"/>
        <v>357309.86</v>
      </c>
      <c r="HX23" s="516">
        <f>[1]Субсидия_факт!CT21</f>
        <v>100046.78999999998</v>
      </c>
      <c r="HY23" s="752">
        <f>[1]Субсидия_факт!CZ21</f>
        <v>257263.07</v>
      </c>
      <c r="HZ23" s="466">
        <f t="shared" si="57"/>
        <v>202983.97</v>
      </c>
      <c r="IA23" s="757">
        <f t="shared" si="128"/>
        <v>56835.53</v>
      </c>
      <c r="IB23" s="789">
        <f t="shared" si="129"/>
        <v>146148.44</v>
      </c>
      <c r="IC23" s="625">
        <v>91500.53</v>
      </c>
      <c r="ID23" s="709">
        <v>235287.01</v>
      </c>
      <c r="IE23" s="669">
        <f t="shared" si="58"/>
        <v>357309.86</v>
      </c>
      <c r="IF23" s="750">
        <f>'Проверочная  таблица'!HX23-'Проверочная  таблица'!IL23</f>
        <v>100046.78999999998</v>
      </c>
      <c r="IG23" s="676">
        <f>'Проверочная  таблица'!HY23-'Проверочная  таблица'!IM23</f>
        <v>257263.07</v>
      </c>
      <c r="IH23" s="663">
        <f t="shared" si="59"/>
        <v>202983.97</v>
      </c>
      <c r="II23" s="757">
        <f>'Проверочная  таблица'!IA23-'Проверочная  таблица'!IO23</f>
        <v>56835.53</v>
      </c>
      <c r="IJ23" s="768">
        <f>'Проверочная  таблица'!IB23-'Проверочная  таблица'!IP23</f>
        <v>146148.44</v>
      </c>
      <c r="IK23" s="669">
        <f t="shared" si="60"/>
        <v>0</v>
      </c>
      <c r="IL23" s="516">
        <f>[1]Субсидия_факт!CV21</f>
        <v>0</v>
      </c>
      <c r="IM23" s="838">
        <f>[1]Субсидия_факт!DB21</f>
        <v>0</v>
      </c>
      <c r="IN23" s="669">
        <f t="shared" si="61"/>
        <v>0</v>
      </c>
      <c r="IO23" s="724"/>
      <c r="IP23" s="678"/>
      <c r="IQ23" s="466">
        <f t="shared" si="130"/>
        <v>3000000</v>
      </c>
      <c r="IR23" s="757">
        <f>[1]Субсидия_факт!CJ21</f>
        <v>0</v>
      </c>
      <c r="IS23" s="676">
        <f>[1]Субсидия_факт!CN21</f>
        <v>0</v>
      </c>
      <c r="IT23" s="757">
        <f>[1]Субсидия_факт!DH21</f>
        <v>0</v>
      </c>
      <c r="IU23" s="676">
        <f>[1]Субсидия_факт!DN21</f>
        <v>0</v>
      </c>
      <c r="IV23" s="525">
        <f>[1]Субсидия_факт!DX21</f>
        <v>0</v>
      </c>
      <c r="IW23" s="689">
        <f>[1]Субсидия_факт!DZ21</f>
        <v>0</v>
      </c>
      <c r="IX23" s="1295">
        <f>[1]Субсидия_факт!DT21</f>
        <v>0</v>
      </c>
      <c r="IY23" s="676">
        <f>[1]Субсидия_факт!DV21</f>
        <v>0</v>
      </c>
      <c r="IZ23" s="516">
        <f>[1]Субсидия_факт!EB21</f>
        <v>3000000</v>
      </c>
      <c r="JA23" s="466">
        <f t="shared" si="131"/>
        <v>3000000</v>
      </c>
      <c r="JB23" s="625"/>
      <c r="JC23" s="678"/>
      <c r="JD23" s="625"/>
      <c r="JE23" s="678"/>
      <c r="JF23" s="531"/>
      <c r="JG23" s="706"/>
      <c r="JH23" s="625"/>
      <c r="JI23" s="678"/>
      <c r="JJ23" s="757">
        <f t="shared" si="132"/>
        <v>3000000</v>
      </c>
      <c r="JK23" s="748">
        <f t="shared" si="133"/>
        <v>0</v>
      </c>
      <c r="JL23" s="757">
        <f>[1]Субсидия_факт!CL21</f>
        <v>0</v>
      </c>
      <c r="JM23" s="676">
        <f>[1]Субсидия_факт!CP21</f>
        <v>0</v>
      </c>
      <c r="JN23" s="757">
        <f>[1]Субсидия_факт!DJ21</f>
        <v>0</v>
      </c>
      <c r="JO23" s="676">
        <f>[1]Субсидия_факт!DP21</f>
        <v>0</v>
      </c>
      <c r="JP23" s="748">
        <f t="shared" si="134"/>
        <v>0</v>
      </c>
      <c r="JQ23" s="625"/>
      <c r="JR23" s="678"/>
      <c r="JS23" s="625"/>
      <c r="JT23" s="678"/>
      <c r="JU23" s="587">
        <f t="shared" si="135"/>
        <v>0</v>
      </c>
      <c r="JV23" s="757">
        <f>'Проверочная  таблица'!JL23-KF23</f>
        <v>0</v>
      </c>
      <c r="JW23" s="676">
        <f>'Проверочная  таблица'!JM23-KG23</f>
        <v>0</v>
      </c>
      <c r="JX23" s="757">
        <f>'Проверочная  таблица'!JN23-KH23</f>
        <v>0</v>
      </c>
      <c r="JY23" s="676">
        <f>'Проверочная  таблица'!JO23-KI23</f>
        <v>0</v>
      </c>
      <c r="JZ23" s="587">
        <f t="shared" si="136"/>
        <v>0</v>
      </c>
      <c r="KA23" s="757">
        <f>'Проверочная  таблица'!JQ23-KK23</f>
        <v>0</v>
      </c>
      <c r="KB23" s="676">
        <f>'Проверочная  таблица'!JR23-KL23</f>
        <v>0</v>
      </c>
      <c r="KC23" s="757">
        <f>'Проверочная  таблица'!JS23-KM23</f>
        <v>0</v>
      </c>
      <c r="KD23" s="789">
        <f>'Проверочная  таблица'!JT23-KN23</f>
        <v>0</v>
      </c>
      <c r="KE23" s="587">
        <f t="shared" si="137"/>
        <v>0</v>
      </c>
      <c r="KF23" s="625"/>
      <c r="KG23" s="678"/>
      <c r="KH23" s="757">
        <f>[1]Субсидия_факт!DL21</f>
        <v>0</v>
      </c>
      <c r="KI23" s="1519">
        <f>[1]Субсидия_факт!DR21</f>
        <v>0</v>
      </c>
      <c r="KJ23" s="587">
        <f t="shared" si="138"/>
        <v>0</v>
      </c>
      <c r="KK23" s="753"/>
      <c r="KL23" s="678"/>
      <c r="KM23" s="625"/>
      <c r="KN23" s="678"/>
      <c r="KO23" s="579">
        <f t="shared" si="139"/>
        <v>0</v>
      </c>
      <c r="KP23" s="516">
        <f>[1]Субсидия_факт!BX21</f>
        <v>0</v>
      </c>
      <c r="KQ23" s="838">
        <f>[1]Субсидия_факт!BZ21</f>
        <v>0</v>
      </c>
      <c r="KR23" s="516">
        <f>[1]Субсидия_факт!CB21</f>
        <v>0</v>
      </c>
      <c r="KS23" s="466">
        <f t="shared" si="140"/>
        <v>0</v>
      </c>
      <c r="KT23" s="625"/>
      <c r="KU23" s="678"/>
      <c r="KV23" s="625"/>
      <c r="KW23" s="498">
        <f t="shared" si="62"/>
        <v>0</v>
      </c>
      <c r="KX23" s="508">
        <f>[1]Субсидия_факт!GN21</f>
        <v>0</v>
      </c>
      <c r="KY23" s="466">
        <f t="shared" si="63"/>
        <v>0</v>
      </c>
      <c r="KZ23" s="625"/>
      <c r="LA23" s="754">
        <f t="shared" si="206"/>
        <v>0</v>
      </c>
      <c r="LB23" s="516">
        <f>[1]Субсидия_факт!JT21</f>
        <v>0</v>
      </c>
      <c r="LC23" s="838">
        <f>[1]Субсидия_факт!JZ21</f>
        <v>0</v>
      </c>
      <c r="LD23" s="508"/>
      <c r="LE23" s="754">
        <f t="shared" si="207"/>
        <v>0</v>
      </c>
      <c r="LF23" s="772"/>
      <c r="LG23" s="678"/>
      <c r="LH23" s="625"/>
      <c r="LI23" s="754">
        <f t="shared" si="141"/>
        <v>0</v>
      </c>
      <c r="LJ23" s="516">
        <f>[1]Субсидия_факт!JV21</f>
        <v>0</v>
      </c>
      <c r="LK23" s="838">
        <f>[1]Субсидия_факт!KB21</f>
        <v>0</v>
      </c>
      <c r="LL23" s="518">
        <f>[1]Субсидия_факт!KF21</f>
        <v>0</v>
      </c>
      <c r="LM23" s="754">
        <f t="shared" si="142"/>
        <v>0</v>
      </c>
      <c r="LN23" s="625"/>
      <c r="LO23" s="771"/>
      <c r="LP23" s="625"/>
      <c r="LQ23" s="756">
        <f t="shared" si="143"/>
        <v>0</v>
      </c>
      <c r="LR23" s="652">
        <f>'Проверочная  таблица'!LJ23-LZ23</f>
        <v>0</v>
      </c>
      <c r="LS23" s="682">
        <f>'Проверочная  таблица'!LK23-MA23</f>
        <v>0</v>
      </c>
      <c r="LT23" s="622">
        <f>'Проверочная  таблица'!LL23-MB23</f>
        <v>0</v>
      </c>
      <c r="LU23" s="756">
        <f t="shared" si="144"/>
        <v>0</v>
      </c>
      <c r="LV23" s="750">
        <f>'Проверочная  таблица'!LN23-MD23</f>
        <v>0</v>
      </c>
      <c r="LW23" s="676">
        <f>'Проверочная  таблица'!LO23-ME23</f>
        <v>0</v>
      </c>
      <c r="LX23" s="757">
        <f>'Проверочная  таблица'!LP23-MF23</f>
        <v>0</v>
      </c>
      <c r="LY23" s="756">
        <f t="shared" si="145"/>
        <v>0</v>
      </c>
      <c r="LZ23" s="516">
        <f>[1]Субсидия_факт!JX21</f>
        <v>0</v>
      </c>
      <c r="MA23" s="838">
        <f>[1]Субсидия_факт!KD21</f>
        <v>0</v>
      </c>
      <c r="MB23" s="516">
        <f>[1]Субсидия_факт!KH21</f>
        <v>0</v>
      </c>
      <c r="MC23" s="756">
        <f t="shared" si="146"/>
        <v>0</v>
      </c>
      <c r="MD23" s="750">
        <f t="shared" si="203"/>
        <v>0</v>
      </c>
      <c r="ME23" s="676">
        <f t="shared" si="204"/>
        <v>0</v>
      </c>
      <c r="MF23" s="516"/>
      <c r="MG23" s="521">
        <f t="shared" si="147"/>
        <v>1216402.77</v>
      </c>
      <c r="MH23" s="652">
        <f>[1]Субсидия_факт!KR21</f>
        <v>26520.14</v>
      </c>
      <c r="MI23" s="682">
        <f>[1]Субсидия_факт!KV21</f>
        <v>503882.63</v>
      </c>
      <c r="MJ23" s="750">
        <f>[1]Субсидия_факт!KZ21</f>
        <v>34300</v>
      </c>
      <c r="MK23" s="1519">
        <f>[1]Субсидия_факт!LD21</f>
        <v>651700</v>
      </c>
      <c r="ML23" s="521">
        <f t="shared" si="148"/>
        <v>266197.5</v>
      </c>
      <c r="MM23" s="1609">
        <v>13309.88</v>
      </c>
      <c r="MN23" s="706">
        <v>252887.62</v>
      </c>
      <c r="MO23" s="342"/>
      <c r="MP23" s="770"/>
      <c r="MQ23" s="587">
        <f t="shared" si="149"/>
        <v>1216402.77</v>
      </c>
      <c r="MR23" s="1613">
        <f t="shared" si="64"/>
        <v>26520.14</v>
      </c>
      <c r="MS23" s="682">
        <f t="shared" si="65"/>
        <v>503882.63</v>
      </c>
      <c r="MT23" s="487">
        <f t="shared" si="66"/>
        <v>34300</v>
      </c>
      <c r="MU23" s="682">
        <f t="shared" si="67"/>
        <v>651700</v>
      </c>
      <c r="MV23" s="587">
        <f t="shared" si="150"/>
        <v>266197.5</v>
      </c>
      <c r="MW23" s="487">
        <f t="shared" si="68"/>
        <v>13309.88</v>
      </c>
      <c r="MX23" s="682">
        <f t="shared" si="69"/>
        <v>252887.62</v>
      </c>
      <c r="MY23" s="487">
        <f t="shared" si="70"/>
        <v>0</v>
      </c>
      <c r="MZ23" s="682">
        <f t="shared" si="71"/>
        <v>0</v>
      </c>
      <c r="NA23" s="587">
        <f t="shared" si="151"/>
        <v>0</v>
      </c>
      <c r="NB23" s="1079">
        <f>[1]Субсидия_факт!KT21</f>
        <v>0</v>
      </c>
      <c r="NC23" s="682">
        <f>[1]Субсидия_факт!KX21</f>
        <v>0</v>
      </c>
      <c r="ND23" s="625">
        <f>[1]Субсидия_факт!LB21</f>
        <v>0</v>
      </c>
      <c r="NE23" s="709">
        <f>[1]Субсидия_факт!LF21</f>
        <v>0</v>
      </c>
      <c r="NF23" s="587">
        <f t="shared" si="152"/>
        <v>0</v>
      </c>
      <c r="NG23" s="487"/>
      <c r="NH23" s="712"/>
      <c r="NI23" s="342"/>
      <c r="NJ23" s="706"/>
      <c r="NK23" s="498">
        <f t="shared" si="72"/>
        <v>0</v>
      </c>
      <c r="NL23" s="516">
        <f>[1]Субсидия_факт!AB21</f>
        <v>0</v>
      </c>
      <c r="NM23" s="838">
        <f>[1]Субсидия_факт!AD21</f>
        <v>0</v>
      </c>
      <c r="NN23" s="466">
        <f t="shared" si="73"/>
        <v>0</v>
      </c>
      <c r="NO23" s="772"/>
      <c r="NP23" s="987"/>
      <c r="NQ23" s="521">
        <f t="shared" si="153"/>
        <v>0</v>
      </c>
      <c r="NR23" s="506">
        <f>[1]Субсидия_факт!LH21</f>
        <v>0</v>
      </c>
      <c r="NS23" s="866">
        <f>[1]Субсидия_факт!LJ21</f>
        <v>0</v>
      </c>
      <c r="NT23" s="525">
        <f>[1]Субсидия_факт!MN21</f>
        <v>0</v>
      </c>
      <c r="NU23" s="689">
        <f>[1]Субсидия_факт!MP21</f>
        <v>0</v>
      </c>
      <c r="NV23" s="1147">
        <f>[1]Субсидия_факт!MB21</f>
        <v>0</v>
      </c>
      <c r="NW23" s="682">
        <f>[1]Субсидия_факт!MH21</f>
        <v>0</v>
      </c>
      <c r="NX23" s="521">
        <f t="shared" si="154"/>
        <v>0</v>
      </c>
      <c r="NY23" s="474"/>
      <c r="NZ23" s="686"/>
      <c r="OA23" s="474"/>
      <c r="OB23" s="686"/>
      <c r="OC23" s="342"/>
      <c r="OD23" s="1279"/>
      <c r="OE23" s="521">
        <f t="shared" si="155"/>
        <v>0</v>
      </c>
      <c r="OF23" s="652">
        <f>[1]Субсидия_факт!KJ21</f>
        <v>0</v>
      </c>
      <c r="OG23" s="682">
        <f>[1]Субсидия_факт!KN21</f>
        <v>0</v>
      </c>
      <c r="OH23" s="652">
        <f>[1]Субсидия_факт!LL21</f>
        <v>0</v>
      </c>
      <c r="OI23" s="682">
        <f>[1]Субсидия_факт!LP21</f>
        <v>0</v>
      </c>
      <c r="OJ23" s="652">
        <f>[1]Субсидия_факт!MD21</f>
        <v>0</v>
      </c>
      <c r="OK23" s="682">
        <f>[1]Субсидия_факт!MJ21</f>
        <v>0</v>
      </c>
      <c r="OL23" s="521">
        <f t="shared" si="156"/>
        <v>0</v>
      </c>
      <c r="OM23" s="487"/>
      <c r="ON23" s="712"/>
      <c r="OO23" s="474"/>
      <c r="OP23" s="686"/>
      <c r="OQ23" s="487"/>
      <c r="OR23" s="712"/>
      <c r="OS23" s="587">
        <f t="shared" si="157"/>
        <v>0</v>
      </c>
      <c r="OT23" s="1066">
        <f t="shared" si="74"/>
        <v>0</v>
      </c>
      <c r="OU23" s="682">
        <f t="shared" si="75"/>
        <v>0</v>
      </c>
      <c r="OV23" s="1066">
        <f t="shared" si="76"/>
        <v>0</v>
      </c>
      <c r="OW23" s="682">
        <f t="shared" si="77"/>
        <v>0</v>
      </c>
      <c r="OX23" s="1147">
        <f t="shared" si="78"/>
        <v>0</v>
      </c>
      <c r="OY23" s="682">
        <f t="shared" si="79"/>
        <v>0</v>
      </c>
      <c r="OZ23" s="587">
        <f t="shared" si="158"/>
        <v>0</v>
      </c>
      <c r="PA23" s="1066">
        <f t="shared" si="80"/>
        <v>0</v>
      </c>
      <c r="PB23" s="682">
        <f t="shared" si="81"/>
        <v>0</v>
      </c>
      <c r="PC23" s="1066">
        <f t="shared" si="82"/>
        <v>0</v>
      </c>
      <c r="PD23" s="682">
        <f t="shared" si="83"/>
        <v>0</v>
      </c>
      <c r="PE23" s="1147">
        <f t="shared" si="84"/>
        <v>0</v>
      </c>
      <c r="PF23" s="682">
        <f t="shared" si="85"/>
        <v>0</v>
      </c>
      <c r="PG23" s="587">
        <f t="shared" si="159"/>
        <v>0</v>
      </c>
      <c r="PH23" s="1079">
        <f>[1]Субсидия_факт!KL21</f>
        <v>0</v>
      </c>
      <c r="PI23" s="682">
        <f>[1]Субсидия_факт!KP21</f>
        <v>0</v>
      </c>
      <c r="PJ23" s="652">
        <f>[1]Субсидия_факт!LN21</f>
        <v>0</v>
      </c>
      <c r="PK23" s="682">
        <f>[1]Субсидия_факт!LR21</f>
        <v>0</v>
      </c>
      <c r="PL23" s="652">
        <f>[1]Субсидия_факт!MF21</f>
        <v>0</v>
      </c>
      <c r="PM23" s="682">
        <f>[1]Субсидия_факт!ML21</f>
        <v>0</v>
      </c>
      <c r="PN23" s="587">
        <f t="shared" si="160"/>
        <v>0</v>
      </c>
      <c r="PO23" s="487"/>
      <c r="PP23" s="712"/>
      <c r="PQ23" s="474"/>
      <c r="PR23" s="686"/>
      <c r="PS23" s="487"/>
      <c r="PT23" s="712"/>
      <c r="PU23" s="466">
        <f t="shared" si="161"/>
        <v>0</v>
      </c>
      <c r="PV23" s="516">
        <f>[1]Субсидия_факт!MR21</f>
        <v>0</v>
      </c>
      <c r="PW23" s="838">
        <f>[1]Субсидия_факт!MX21</f>
        <v>0</v>
      </c>
      <c r="PX23" s="466">
        <f t="shared" si="162"/>
        <v>0</v>
      </c>
      <c r="PY23" s="724"/>
      <c r="PZ23" s="678"/>
      <c r="QA23" s="579">
        <f t="shared" si="163"/>
        <v>0</v>
      </c>
      <c r="QB23" s="516">
        <f>[1]Субсидия_факт!MT21</f>
        <v>0</v>
      </c>
      <c r="QC23" s="838">
        <f>[1]Субсидия_факт!MZ21</f>
        <v>0</v>
      </c>
      <c r="QD23" s="466">
        <f t="shared" si="164"/>
        <v>0</v>
      </c>
      <c r="QE23" s="724"/>
      <c r="QF23" s="987"/>
      <c r="QG23" s="669">
        <f t="shared" si="165"/>
        <v>0</v>
      </c>
      <c r="QH23" s="516">
        <f t="shared" si="166"/>
        <v>0</v>
      </c>
      <c r="QI23" s="838">
        <f t="shared" si="167"/>
        <v>0</v>
      </c>
      <c r="QJ23" s="669">
        <f t="shared" si="168"/>
        <v>0</v>
      </c>
      <c r="QK23" s="516">
        <f t="shared" si="169"/>
        <v>0</v>
      </c>
      <c r="QL23" s="838">
        <f t="shared" si="170"/>
        <v>0</v>
      </c>
      <c r="QM23" s="669">
        <f t="shared" si="171"/>
        <v>0</v>
      </c>
      <c r="QN23" s="516">
        <f>[1]Субсидия_факт!MV21</f>
        <v>0</v>
      </c>
      <c r="QO23" s="838">
        <f>[1]Субсидия_факт!NB21</f>
        <v>0</v>
      </c>
      <c r="QP23" s="669">
        <f t="shared" si="172"/>
        <v>0</v>
      </c>
      <c r="QQ23" s="516">
        <f>[1]Субсидия_факт!NI21</f>
        <v>0</v>
      </c>
      <c r="QR23" s="752">
        <f>[1]Субсидия_факт!NO21</f>
        <v>0</v>
      </c>
      <c r="QS23" s="521">
        <f>'Прочая  субсидия_МР  и  ГО'!B19</f>
        <v>7912092.2799999993</v>
      </c>
      <c r="QT23" s="521">
        <f>'Прочая  субсидия_МР  и  ГО'!C19</f>
        <v>1457072.8200000003</v>
      </c>
      <c r="QU23" s="524">
        <f>'Прочая  субсидия_БП'!B19</f>
        <v>5755714</v>
      </c>
      <c r="QV23" s="526">
        <f>'Прочая  субсидия_БП'!C19</f>
        <v>790789.84</v>
      </c>
      <c r="QW23" s="583">
        <f>'Прочая  субсидия_БП'!D19</f>
        <v>5755714</v>
      </c>
      <c r="QX23" s="582">
        <f>'Прочая  субсидия_БП'!E19</f>
        <v>790789.84</v>
      </c>
      <c r="QY23" s="588">
        <f>'Прочая  субсидия_БП'!F19</f>
        <v>0</v>
      </c>
      <c r="QZ23" s="583">
        <f>'Прочая  субсидия_БП'!G19</f>
        <v>0</v>
      </c>
      <c r="RA23" s="526">
        <f t="shared" si="173"/>
        <v>270185003.05000001</v>
      </c>
      <c r="RB23" s="525">
        <f>'Проверочная  таблица'!SF23+'Проверочная  таблица'!RG23+'Проверочная  таблица'!RI23+'Проверочная  таблица'!RK23+RX23</f>
        <v>263275166.10000002</v>
      </c>
      <c r="RC23" s="508">
        <f>'Проверочная  таблица'!SG23+'Проверочная  таблица'!RM23+'Проверочная  таблица'!RS23+'Проверочная  таблица'!RO23+'Проверочная  таблица'!RQ23+RU23+RY23+SC23</f>
        <v>6909836.9500000002</v>
      </c>
      <c r="RD23" s="521">
        <f t="shared" si="174"/>
        <v>196888885.73999998</v>
      </c>
      <c r="RE23" s="506">
        <f>'Проверочная  таблица'!SI23+'Проверочная  таблица'!RH23+'Проверочная  таблица'!RJ23+'Проверочная  таблица'!RL23+SA23</f>
        <v>193239155.01999998</v>
      </c>
      <c r="RF23" s="508">
        <f>'Проверочная  таблица'!SJ23+'Проверочная  таблица'!RN23+'Проверочная  таблица'!RT23+'Проверочная  таблица'!RP23+'Проверочная  таблица'!RR23+RV23+SB23+SD23</f>
        <v>3649730.7199999997</v>
      </c>
      <c r="RG23" s="579">
        <f>'Субвенция  на  полномочия'!B19</f>
        <v>249808105.27000001</v>
      </c>
      <c r="RH23" s="466">
        <f>'Субвенция  на  полномочия'!C19</f>
        <v>183872698.25999999</v>
      </c>
      <c r="RI23" s="733">
        <f>[1]Субвенция_факт!Q20*1000</f>
        <v>8729933</v>
      </c>
      <c r="RJ23" s="736">
        <v>6600000</v>
      </c>
      <c r="RK23" s="733">
        <f>[1]Субвенция_факт!J20*1000</f>
        <v>2110746</v>
      </c>
      <c r="RL23" s="736">
        <v>1150000</v>
      </c>
      <c r="RM23" s="733">
        <f>[1]Субвенция_факт!AE20*1000</f>
        <v>1279300</v>
      </c>
      <c r="RN23" s="736">
        <v>790938.87</v>
      </c>
      <c r="RO23" s="733">
        <f>[1]Субвенция_факт!AF20*1000</f>
        <v>0</v>
      </c>
      <c r="RP23" s="736">
        <v>0</v>
      </c>
      <c r="RQ23" s="733">
        <f>[1]Субвенция_факт!E20*1000</f>
        <v>0</v>
      </c>
      <c r="RR23" s="736"/>
      <c r="RS23" s="733">
        <f>[1]Субвенция_факт!F20*1000</f>
        <v>0</v>
      </c>
      <c r="RT23" s="827"/>
      <c r="RU23" s="170">
        <f>[1]Субвенция_факт!G20*1000</f>
        <v>0</v>
      </c>
      <c r="RV23" s="1109"/>
      <c r="RW23" s="521">
        <f t="shared" si="88"/>
        <v>5897167.25</v>
      </c>
      <c r="RX23" s="622">
        <f>[1]Субвенция_факт!N20*1000</f>
        <v>1651206.83</v>
      </c>
      <c r="RY23" s="682">
        <f>[1]Субвенция_факт!O20*1000</f>
        <v>4245960.42</v>
      </c>
      <c r="RZ23" s="521">
        <f t="shared" si="89"/>
        <v>2867702.71</v>
      </c>
      <c r="SA23" s="773">
        <v>802956.76</v>
      </c>
      <c r="SB23" s="1279">
        <v>2064745.95</v>
      </c>
      <c r="SC23" s="170">
        <f>[1]Субвенция_факт!AG20*1000</f>
        <v>263576.52999999997</v>
      </c>
      <c r="SD23" s="1277"/>
      <c r="SE23" s="498">
        <f t="shared" si="175"/>
        <v>2096175</v>
      </c>
      <c r="SF23" s="833">
        <f>[1]Субвенция_факт!AD20*1000</f>
        <v>975175</v>
      </c>
      <c r="SG23" s="1562">
        <f>[1]Субвенция_факт!AC20*1000</f>
        <v>1121000</v>
      </c>
      <c r="SH23" s="521">
        <f t="shared" si="176"/>
        <v>1607545.9</v>
      </c>
      <c r="SI23" s="1557">
        <v>813500</v>
      </c>
      <c r="SJ23" s="1635">
        <v>794045.9</v>
      </c>
      <c r="SK23" s="280">
        <f>'Проверочная  таблица'!VC23+'Проверочная  таблица'!UO23+'Проверочная  таблица'!SY23+'Проверочная  таблица'!TC23+UA23+UG23+TK23+TQ23+SM23+SS23</f>
        <v>14738126.93</v>
      </c>
      <c r="SL23" s="170">
        <f>'Проверочная  таблица'!VF23+'Проверочная  таблица'!UV23+'Проверочная  таблица'!TA23+'Проверочная  таблица'!TE23+UD23+UK23+TN23+TT23+SP23+SV23</f>
        <v>9878594.9299999997</v>
      </c>
      <c r="SM23" s="524">
        <f t="shared" si="92"/>
        <v>9296280</v>
      </c>
      <c r="SN23" s="833">
        <f>'[1]Иные межбюджетные трансферты'!I21</f>
        <v>0</v>
      </c>
      <c r="SO23" s="880">
        <f>'[1]Иные межбюджетные трансферты'!K21</f>
        <v>9296280</v>
      </c>
      <c r="SP23" s="521">
        <f t="shared" si="93"/>
        <v>7082880</v>
      </c>
      <c r="SQ23" s="1421"/>
      <c r="SR23" s="1422">
        <v>7082880</v>
      </c>
      <c r="SS23" s="521">
        <f t="shared" si="177"/>
        <v>0</v>
      </c>
      <c r="ST23" s="1082">
        <f>'[1]Иные межбюджетные трансферты'!Y21</f>
        <v>0</v>
      </c>
      <c r="SU23" s="1630">
        <f>'[1]Иные межбюджетные трансферты'!AE21</f>
        <v>0</v>
      </c>
      <c r="SV23" s="521">
        <f t="shared" si="178"/>
        <v>0</v>
      </c>
      <c r="SW23" s="906"/>
      <c r="SX23" s="1422"/>
      <c r="SY23" s="1254">
        <f t="shared" si="94"/>
        <v>0</v>
      </c>
      <c r="SZ23" s="1009">
        <f>'[1]Иные межбюджетные трансферты'!AG21</f>
        <v>0</v>
      </c>
      <c r="TA23" s="899">
        <f t="shared" si="95"/>
        <v>0</v>
      </c>
      <c r="TB23" s="1422"/>
      <c r="TC23" s="903">
        <f t="shared" si="96"/>
        <v>0</v>
      </c>
      <c r="TD23" s="1009">
        <f>'[1]Иные межбюджетные трансферты'!AI21</f>
        <v>0</v>
      </c>
      <c r="TE23" s="899">
        <f t="shared" si="97"/>
        <v>0</v>
      </c>
      <c r="TF23" s="1082"/>
      <c r="TG23" s="901">
        <f t="shared" si="98"/>
        <v>0</v>
      </c>
      <c r="TH23" s="897">
        <f t="shared" si="99"/>
        <v>0</v>
      </c>
      <c r="TI23" s="1086">
        <f t="shared" si="179"/>
        <v>0</v>
      </c>
      <c r="TJ23" s="897">
        <f t="shared" si="180"/>
        <v>0</v>
      </c>
      <c r="TK23" s="903">
        <f t="shared" si="181"/>
        <v>0</v>
      </c>
      <c r="TL23" s="1079"/>
      <c r="TM23" s="682"/>
      <c r="TN23" s="903">
        <f t="shared" si="182"/>
        <v>0</v>
      </c>
      <c r="TO23" s="773"/>
      <c r="TP23" s="686"/>
      <c r="TQ23" s="903">
        <f t="shared" si="183"/>
        <v>0</v>
      </c>
      <c r="TR23" s="1079">
        <f>'[1]Иные межбюджетные трансферты'!AQ21</f>
        <v>0</v>
      </c>
      <c r="TS23" s="682">
        <f>'[1]Иные межбюджетные трансферты'!AU21</f>
        <v>0</v>
      </c>
      <c r="TT23" s="899">
        <f t="shared" si="184"/>
        <v>0</v>
      </c>
      <c r="TU23" s="753"/>
      <c r="TV23" s="771"/>
      <c r="TW23" s="820">
        <f t="shared" si="185"/>
        <v>0</v>
      </c>
      <c r="TX23" s="820">
        <f t="shared" si="186"/>
        <v>0</v>
      </c>
      <c r="TY23" s="820">
        <f t="shared" si="187"/>
        <v>0</v>
      </c>
      <c r="TZ23" s="1199">
        <f t="shared" si="188"/>
        <v>0</v>
      </c>
      <c r="UA23" s="1134">
        <f t="shared" si="100"/>
        <v>0</v>
      </c>
      <c r="UB23" s="945">
        <f>'[1]Иные межбюджетные трансферты'!U21</f>
        <v>0</v>
      </c>
      <c r="UC23" s="1133">
        <f>'[1]Иные межбюджетные трансферты'!W21</f>
        <v>0</v>
      </c>
      <c r="UD23" s="734">
        <f t="shared" si="101"/>
        <v>0</v>
      </c>
      <c r="UE23" s="945"/>
      <c r="UF23" s="1133"/>
      <c r="UG23" s="734">
        <f t="shared" si="189"/>
        <v>0</v>
      </c>
      <c r="UH23" s="945">
        <f>'[1]Иные межбюджетные трансферты'!O21</f>
        <v>0</v>
      </c>
      <c r="UI23" s="1133">
        <f>'[1]Иные межбюджетные трансферты'!Q21</f>
        <v>0</v>
      </c>
      <c r="UJ23" s="1133">
        <f>'[1]Иные межбюджетные трансферты'!S21</f>
        <v>0</v>
      </c>
      <c r="UK23" s="734">
        <f t="shared" si="190"/>
        <v>0</v>
      </c>
      <c r="UL23" s="1513"/>
      <c r="UM23" s="1426"/>
      <c r="UN23" s="1624"/>
      <c r="UO23" s="1585">
        <f t="shared" si="191"/>
        <v>3177567.92</v>
      </c>
      <c r="UP23" s="833">
        <f>'[1]Иные межбюджетные трансферты'!E21</f>
        <v>0</v>
      </c>
      <c r="UQ23" s="880">
        <f>'[1]Иные межбюджетные трансферты'!G21</f>
        <v>0</v>
      </c>
      <c r="UR23" s="830">
        <f>'[1]Иные межбюджетные трансферты'!M21</f>
        <v>2646132</v>
      </c>
      <c r="US23" s="1044"/>
      <c r="UT23" s="1498">
        <f>'[1]Иные межбюджетные трансферты'!AY21</f>
        <v>0</v>
      </c>
      <c r="UU23" s="1539">
        <f>'[1]Иные межбюджетные трансферты'!BA21</f>
        <v>531435.92000000004</v>
      </c>
      <c r="UV23" s="834">
        <f t="shared" si="192"/>
        <v>531435.92000000004</v>
      </c>
      <c r="UW23" s="908"/>
      <c r="UX23" s="906"/>
      <c r="UY23" s="1425">
        <v>0</v>
      </c>
      <c r="UZ23" s="516"/>
      <c r="VA23" s="518">
        <f t="shared" si="102"/>
        <v>0</v>
      </c>
      <c r="VB23" s="516">
        <f t="shared" si="193"/>
        <v>531435.92000000004</v>
      </c>
      <c r="VC23" s="899">
        <f t="shared" si="194"/>
        <v>2264279.0100000002</v>
      </c>
      <c r="VD23" s="830">
        <f>'[1]Иные межбюджетные трансферты'!AM21</f>
        <v>0</v>
      </c>
      <c r="VE23" s="1587">
        <f>'[1]Иные межбюджетные трансферты'!BC21</f>
        <v>2264279.0100000002</v>
      </c>
      <c r="VF23" s="1495">
        <f t="shared" si="195"/>
        <v>2264279.0100000002</v>
      </c>
      <c r="VG23" s="753"/>
      <c r="VH23" s="1251">
        <f t="shared" si="196"/>
        <v>2264279.0100000002</v>
      </c>
      <c r="VI23" s="1199">
        <f t="shared" si="197"/>
        <v>2264279.0100000002</v>
      </c>
      <c r="VJ23" s="516">
        <f>'Проверочная  таблица'!VD23-VP23</f>
        <v>0</v>
      </c>
      <c r="VK23" s="516">
        <f>'Проверочная  таблица'!VE23-VQ23</f>
        <v>2264279.0100000002</v>
      </c>
      <c r="VL23" s="1199">
        <f t="shared" si="198"/>
        <v>2264279.0100000002</v>
      </c>
      <c r="VM23" s="516">
        <f>'Проверочная  таблица'!VG23-VS23</f>
        <v>0</v>
      </c>
      <c r="VN23" s="516">
        <f>'Проверочная  таблица'!VH23-VT23</f>
        <v>2264279.0100000002</v>
      </c>
      <c r="VO23" s="1199">
        <f t="shared" si="199"/>
        <v>0</v>
      </c>
      <c r="VP23" s="833">
        <f>'[1]Иные межбюджетные трансферты'!AO21</f>
        <v>0</v>
      </c>
      <c r="VQ23" s="830">
        <f>'[1]Иные межбюджетные трансферты'!BE21</f>
        <v>0</v>
      </c>
      <c r="VR23" s="1501">
        <f t="shared" si="200"/>
        <v>0</v>
      </c>
      <c r="VS23" s="1492"/>
      <c r="VT23" s="518">
        <f t="shared" si="201"/>
        <v>0</v>
      </c>
      <c r="VU23" s="521">
        <f>VW23+'Проверочная  таблица'!WE23+WA23+'Проверочная  таблица'!WI23+WC23+'Проверочная  таблица'!WK23</f>
        <v>0</v>
      </c>
      <c r="VV23" s="521">
        <f>VX23+'Проверочная  таблица'!WF23+WB23+'Проверочная  таблица'!WJ23+WD23+'Проверочная  таблица'!WL23</f>
        <v>0</v>
      </c>
      <c r="VW23" s="533"/>
      <c r="VX23" s="533"/>
      <c r="VY23" s="533"/>
      <c r="VZ23" s="533"/>
      <c r="WA23" s="530">
        <f t="shared" si="103"/>
        <v>0</v>
      </c>
      <c r="WB23" s="528">
        <f t="shared" si="104"/>
        <v>0</v>
      </c>
      <c r="WC23" s="534"/>
      <c r="WD23" s="523"/>
      <c r="WE23" s="533"/>
      <c r="WF23" s="533"/>
      <c r="WG23" s="533"/>
      <c r="WH23" s="533"/>
      <c r="WI23" s="530">
        <f t="shared" si="105"/>
        <v>0</v>
      </c>
      <c r="WJ23" s="528">
        <f t="shared" si="106"/>
        <v>0</v>
      </c>
      <c r="WK23" s="523"/>
      <c r="WL23" s="523"/>
      <c r="WM23" s="252">
        <f>'Проверочная  таблица'!WE23+'Проверочная  таблица'!WG23</f>
        <v>0</v>
      </c>
      <c r="WN23" s="252">
        <f>'Проверочная  таблица'!WF23+'Проверочная  таблица'!WH23</f>
        <v>0</v>
      </c>
      <c r="WO23" s="1042"/>
    </row>
    <row r="24" spans="1:613" s="338" customFormat="1" ht="25.5" customHeight="1" x14ac:dyDescent="0.25">
      <c r="A24" s="348" t="s">
        <v>91</v>
      </c>
      <c r="B24" s="526">
        <f>D24+AI24+'Проверочная  таблица'!RA24+'Проверочная  таблица'!SK24</f>
        <v>903414297.16999984</v>
      </c>
      <c r="C24" s="521">
        <f>E24+'Проверочная  таблица'!RD24+AJ24+'Проверочная  таблица'!SL24</f>
        <v>664759246.29999995</v>
      </c>
      <c r="D24" s="524">
        <f t="shared" si="0"/>
        <v>108666065.99999999</v>
      </c>
      <c r="E24" s="526">
        <f t="shared" si="1"/>
        <v>86397616</v>
      </c>
      <c r="F24" s="581">
        <f>'[1]Дотация  из  ОБ_факт'!M20</f>
        <v>16757700</v>
      </c>
      <c r="G24" s="963">
        <v>12568275</v>
      </c>
      <c r="H24" s="581">
        <f>'[1]Дотация  из  ОБ_факт'!G20</f>
        <v>13070000</v>
      </c>
      <c r="I24" s="963">
        <v>9802500</v>
      </c>
      <c r="J24" s="582">
        <f t="shared" si="2"/>
        <v>13070000</v>
      </c>
      <c r="K24" s="588">
        <f t="shared" si="3"/>
        <v>9802500</v>
      </c>
      <c r="L24" s="835">
        <f>'[1]Дотация  из  ОБ_факт'!K20</f>
        <v>0</v>
      </c>
      <c r="M24" s="1446"/>
      <c r="N24" s="581">
        <f>'[1]Дотация  из  ОБ_факт'!Q20</f>
        <v>1378240</v>
      </c>
      <c r="O24" s="963">
        <v>1178240</v>
      </c>
      <c r="P24" s="581">
        <f>'[1]Дотация  из  ОБ_факт'!S20</f>
        <v>71506228.999999985</v>
      </c>
      <c r="Q24" s="1442">
        <v>56894704</v>
      </c>
      <c r="R24" s="588">
        <f t="shared" si="4"/>
        <v>71506228.999999985</v>
      </c>
      <c r="S24" s="583">
        <f t="shared" si="5"/>
        <v>56894704</v>
      </c>
      <c r="T24" s="835">
        <f>'[1]Дотация  из  ОБ_факт'!W20</f>
        <v>0</v>
      </c>
      <c r="U24" s="1448"/>
      <c r="V24" s="581">
        <f>'[1]Дотация  из  ОБ_факт'!AA20+'[1]Дотация  из  ОБ_факт'!AC20+'[1]Дотация  из  ОБ_факт'!AG20</f>
        <v>2893897</v>
      </c>
      <c r="W24" s="461">
        <f t="shared" si="6"/>
        <v>2893897</v>
      </c>
      <c r="X24" s="585"/>
      <c r="Y24" s="584">
        <v>1200000</v>
      </c>
      <c r="Z24" s="585">
        <v>1693897</v>
      </c>
      <c r="AA24" s="581">
        <f>'[1]Дотация  из  ОБ_факт'!Y20+'[1]Дотация  из  ОБ_факт'!AE20</f>
        <v>3060000</v>
      </c>
      <c r="AB24" s="172">
        <f t="shared" si="7"/>
        <v>3060000</v>
      </c>
      <c r="AC24" s="584">
        <v>3060000</v>
      </c>
      <c r="AD24" s="585"/>
      <c r="AE24" s="582">
        <f t="shared" si="8"/>
        <v>3060000</v>
      </c>
      <c r="AF24" s="588">
        <f t="shared" si="9"/>
        <v>3060000</v>
      </c>
      <c r="AG24" s="1187">
        <f>'[1]Дотация  из  ОБ_факт'!AE20</f>
        <v>0</v>
      </c>
      <c r="AH24" s="1480">
        <f t="shared" si="107"/>
        <v>0</v>
      </c>
      <c r="AI24" s="579">
        <f>'Проверочная  таблица'!KW24+'Проверочная  таблица'!QS24+'Проверочная  таблица'!QU24+CS24+CU24+DA24+DC24+BU24+CE24+'Проверочная  таблица'!IQ24+'Проверочная  таблица'!JK24+'Проверочная  таблица'!EE24+'Проверочная  таблица'!KO24+DQ24+'Проверочная  таблица'!HQ24+'Проверочная  таблица'!HW24+'Проверочная  таблица'!LA24+'Проверочная  таблица'!LI24+HK24+FQ24+FE24+NK24+EY24+AK24+AW24+FK24+GM24+GS24+DI24+NQ24+FW24+EK24+OE24+MG24+GG24+PU24+QA24</f>
        <v>132455009.29999998</v>
      </c>
      <c r="AJ24" s="498">
        <f>'Проверочная  таблица'!KY24+'Проверочная  таблица'!QT24+'Проверочная  таблица'!QV24+CT24+CV24+DB24+DD24+BZ24+CJ24+'Проверочная  таблица'!JA24+'Проверочная  таблица'!JP24+'Проверочная  таблица'!EH24+'Проверочная  таблица'!KS24+DX24+'Проверочная  таблица'!HT24+'Проверочная  таблица'!HZ24+'Проверочная  таблица'!LE24+'Проверочная  таблица'!LM24+HN24+FN24+FT24+FH24+NN24+FB24+AQ24+BA24+GP24+GV24+DM24+NX24+FZ24+ER24+OL24+ML24+GJ24+PX24+QD24</f>
        <v>90673382.519999996</v>
      </c>
      <c r="AK24" s="466">
        <f t="shared" si="108"/>
        <v>0</v>
      </c>
      <c r="AL24" s="525">
        <f>[1]Субсидия_факт!CD22</f>
        <v>0</v>
      </c>
      <c r="AM24" s="508">
        <f>[1]Субсидия_факт!EX22</f>
        <v>0</v>
      </c>
      <c r="AN24" s="506">
        <f>[1]Субсидия_факт!FJ22</f>
        <v>0</v>
      </c>
      <c r="AO24" s="525">
        <f>[1]Субсидия_факт!LT22</f>
        <v>0</v>
      </c>
      <c r="AP24" s="622">
        <f>[1]Субсидия_факт!LZ22</f>
        <v>0</v>
      </c>
      <c r="AQ24" s="748">
        <f t="shared" si="109"/>
        <v>0</v>
      </c>
      <c r="AR24" s="474"/>
      <c r="AS24" s="474"/>
      <c r="AT24" s="474"/>
      <c r="AU24" s="474"/>
      <c r="AV24" s="531"/>
      <c r="AW24" s="498">
        <f t="shared" si="10"/>
        <v>0</v>
      </c>
      <c r="AX24" s="525">
        <f>[1]Субсидия_факт!CF22</f>
        <v>0</v>
      </c>
      <c r="AY24" s="508">
        <f>[1]Субсидия_факт!FB22</f>
        <v>0</v>
      </c>
      <c r="AZ24" s="646">
        <f>[1]Субсидия_факт!LV22</f>
        <v>0</v>
      </c>
      <c r="BA24" s="466">
        <f t="shared" si="11"/>
        <v>0</v>
      </c>
      <c r="BB24" s="531"/>
      <c r="BC24" s="531"/>
      <c r="BD24" s="532"/>
      <c r="BE24" s="669">
        <f t="shared" si="12"/>
        <v>0</v>
      </c>
      <c r="BF24" s="652">
        <f t="shared" si="13"/>
        <v>0</v>
      </c>
      <c r="BG24" s="464">
        <f t="shared" si="14"/>
        <v>0</v>
      </c>
      <c r="BH24" s="341">
        <f t="shared" si="15"/>
        <v>0</v>
      </c>
      <c r="BI24" s="669">
        <f t="shared" si="16"/>
        <v>0</v>
      </c>
      <c r="BJ24" s="622">
        <f t="shared" si="17"/>
        <v>0</v>
      </c>
      <c r="BK24" s="506">
        <f t="shared" si="18"/>
        <v>0</v>
      </c>
      <c r="BL24" s="341">
        <f t="shared" si="19"/>
        <v>0</v>
      </c>
      <c r="BM24" s="667">
        <f t="shared" si="20"/>
        <v>0</v>
      </c>
      <c r="BN24" s="525">
        <f>[1]Субсидия_факт!CH22</f>
        <v>0</v>
      </c>
      <c r="BO24" s="508">
        <f>[1]Субсидия_факт!FD22</f>
        <v>0</v>
      </c>
      <c r="BP24" s="646">
        <f>[1]Субсидия_факт!LX22</f>
        <v>0</v>
      </c>
      <c r="BQ24" s="669">
        <f t="shared" si="21"/>
        <v>0</v>
      </c>
      <c r="BR24" s="532"/>
      <c r="BS24" s="531"/>
      <c r="BT24" s="532"/>
      <c r="BU24" s="521">
        <f t="shared" si="110"/>
        <v>67423706.530000001</v>
      </c>
      <c r="BV24" s="562">
        <f>[1]Субсидия_факт!HB22</f>
        <v>0</v>
      </c>
      <c r="BW24" s="516">
        <f>[1]Субсидия_факт!HH22</f>
        <v>67423706.530000001</v>
      </c>
      <c r="BX24" s="531">
        <f>[1]Субсидия_факт!HP22</f>
        <v>0</v>
      </c>
      <c r="BY24" s="562">
        <f>[1]Субсидия_факт!HV22</f>
        <v>0</v>
      </c>
      <c r="BZ24" s="521">
        <f t="shared" si="111"/>
        <v>53256769.969999999</v>
      </c>
      <c r="CA24" s="531"/>
      <c r="CB24" s="531">
        <v>53256769.969999999</v>
      </c>
      <c r="CC24" s="625"/>
      <c r="CD24" s="625"/>
      <c r="CE24" s="526">
        <f t="shared" si="112"/>
        <v>0</v>
      </c>
      <c r="CF24" s="525">
        <f>[1]Субсидия_факт!HD22</f>
        <v>0</v>
      </c>
      <c r="CG24" s="525">
        <f>[1]Субсидия_факт!HJ22</f>
        <v>0</v>
      </c>
      <c r="CH24" s="531">
        <f>[1]Субсидия_факт!HR22</f>
        <v>0</v>
      </c>
      <c r="CI24" s="646">
        <f>[1]Субсидия_факт!HX22</f>
        <v>0</v>
      </c>
      <c r="CJ24" s="521">
        <f t="shared" si="113"/>
        <v>0</v>
      </c>
      <c r="CK24" s="531"/>
      <c r="CL24" s="532"/>
      <c r="CM24" s="625"/>
      <c r="CN24" s="724"/>
      <c r="CO24" s="530">
        <f t="shared" si="22"/>
        <v>0</v>
      </c>
      <c r="CP24" s="528">
        <f t="shared" si="23"/>
        <v>0</v>
      </c>
      <c r="CQ24" s="527">
        <f t="shared" si="114"/>
        <v>0</v>
      </c>
      <c r="CR24" s="530">
        <f t="shared" si="115"/>
        <v>0</v>
      </c>
      <c r="CS24" s="521">
        <f>[1]Субсидия_факт!FL22</f>
        <v>0</v>
      </c>
      <c r="CT24" s="620"/>
      <c r="CU24" s="521">
        <f>[1]Субсидия_факт!FN22</f>
        <v>0</v>
      </c>
      <c r="CV24" s="620"/>
      <c r="CW24" s="528">
        <f t="shared" si="24"/>
        <v>0</v>
      </c>
      <c r="CX24" s="527">
        <f t="shared" si="25"/>
        <v>0</v>
      </c>
      <c r="CY24" s="587">
        <f>[1]Субсидия_факт!FP22</f>
        <v>0</v>
      </c>
      <c r="CZ24" s="1480">
        <f t="shared" si="205"/>
        <v>0</v>
      </c>
      <c r="DA24" s="526">
        <f>[1]Субсидия_факт!FR22</f>
        <v>0</v>
      </c>
      <c r="DB24" s="339"/>
      <c r="DC24" s="524">
        <f>[1]Субсидия_факт!FT22</f>
        <v>0</v>
      </c>
      <c r="DD24" s="339"/>
      <c r="DE24" s="1238">
        <f t="shared" si="26"/>
        <v>0</v>
      </c>
      <c r="DF24" s="528">
        <f t="shared" si="27"/>
        <v>0</v>
      </c>
      <c r="DG24" s="663">
        <f>[1]Субсидия_факт!FV22</f>
        <v>0</v>
      </c>
      <c r="DH24" s="1478">
        <f t="shared" si="116"/>
        <v>0</v>
      </c>
      <c r="DI24" s="498">
        <f t="shared" si="117"/>
        <v>0</v>
      </c>
      <c r="DJ24" s="625">
        <f>[1]Субсидия_факт!EV22</f>
        <v>0</v>
      </c>
      <c r="DK24" s="516">
        <f>[1]Субсидия_факт!EL22</f>
        <v>0</v>
      </c>
      <c r="DL24" s="838">
        <f>[1]Субсидия_факт!EN22</f>
        <v>0</v>
      </c>
      <c r="DM24" s="466">
        <f t="shared" si="118"/>
        <v>0</v>
      </c>
      <c r="DN24" s="625"/>
      <c r="DO24" s="625"/>
      <c r="DP24" s="987"/>
      <c r="DQ24" s="526">
        <f t="shared" si="28"/>
        <v>420000</v>
      </c>
      <c r="DR24" s="508">
        <f>[1]Субсидия_факт!N22</f>
        <v>0</v>
      </c>
      <c r="DS24" s="652">
        <f>[1]Субсидия_факт!P22</f>
        <v>0</v>
      </c>
      <c r="DT24" s="682">
        <f>[1]Субсидия_факт!R22</f>
        <v>0</v>
      </c>
      <c r="DU24" s="506">
        <f>[1]Субсидия_факт!T22</f>
        <v>0</v>
      </c>
      <c r="DV24" s="689">
        <f>[1]Субсидия_факт!V22</f>
        <v>0</v>
      </c>
      <c r="DW24" s="506">
        <f>[1]Субсидия_факт!X22</f>
        <v>420000</v>
      </c>
      <c r="DX24" s="521">
        <f t="shared" si="29"/>
        <v>153768.89000000001</v>
      </c>
      <c r="DY24" s="532"/>
      <c r="DZ24" s="531"/>
      <c r="EA24" s="686"/>
      <c r="EB24" s="531"/>
      <c r="EC24" s="686"/>
      <c r="ED24" s="531">
        <v>153768.89000000001</v>
      </c>
      <c r="EE24" s="498">
        <f t="shared" si="30"/>
        <v>0</v>
      </c>
      <c r="EF24" s="516">
        <f>[1]Субсидия_факт!BL22</f>
        <v>0</v>
      </c>
      <c r="EG24" s="838">
        <f>[1]Субсидия_факт!BN22</f>
        <v>0</v>
      </c>
      <c r="EH24" s="466">
        <f t="shared" si="31"/>
        <v>0</v>
      </c>
      <c r="EI24" s="772"/>
      <c r="EJ24" s="987"/>
      <c r="EK24" s="526">
        <f t="shared" si="32"/>
        <v>0</v>
      </c>
      <c r="EL24" s="525">
        <f>[1]Субсидия_факт!AF22</f>
        <v>0</v>
      </c>
      <c r="EM24" s="689">
        <f>[1]Субсидия_факт!AH22</f>
        <v>0</v>
      </c>
      <c r="EN24" s="506">
        <f>[1]Субсидия_факт!AJ22</f>
        <v>0</v>
      </c>
      <c r="EO24" s="866">
        <f>[1]Субсидия_факт!AL22</f>
        <v>0</v>
      </c>
      <c r="EP24" s="622">
        <f>[1]Субсидия_факт!AN22</f>
        <v>0</v>
      </c>
      <c r="EQ24" s="712">
        <f>[1]Субсидия_факт!AP22</f>
        <v>0</v>
      </c>
      <c r="ER24" s="521">
        <f t="shared" si="33"/>
        <v>0</v>
      </c>
      <c r="ES24" s="474"/>
      <c r="ET24" s="686"/>
      <c r="EU24" s="474"/>
      <c r="EV24" s="686"/>
      <c r="EW24" s="474"/>
      <c r="EX24" s="686"/>
      <c r="EY24" s="498">
        <f t="shared" si="34"/>
        <v>0</v>
      </c>
      <c r="EZ24" s="516">
        <f>[1]Субсидия_факт!AV22</f>
        <v>0</v>
      </c>
      <c r="FA24" s="752">
        <f>[1]Субсидия_факт!AX22</f>
        <v>0</v>
      </c>
      <c r="FB24" s="466">
        <f t="shared" si="35"/>
        <v>0</v>
      </c>
      <c r="FC24" s="772"/>
      <c r="FD24" s="678"/>
      <c r="FE24" s="498">
        <f t="shared" si="36"/>
        <v>0</v>
      </c>
      <c r="FF24" s="516">
        <f>[1]Субсидия_факт!BT22</f>
        <v>0</v>
      </c>
      <c r="FG24" s="838">
        <f>[1]Субсидия_факт!BV22</f>
        <v>0</v>
      </c>
      <c r="FH24" s="466">
        <f t="shared" si="37"/>
        <v>0</v>
      </c>
      <c r="FI24" s="772"/>
      <c r="FJ24" s="678"/>
      <c r="FK24" s="498">
        <f t="shared" si="38"/>
        <v>0</v>
      </c>
      <c r="FL24" s="516">
        <f>[1]Субсидия_факт!BP22</f>
        <v>0</v>
      </c>
      <c r="FM24" s="838">
        <f>[1]Субсидия_факт!BR22</f>
        <v>0</v>
      </c>
      <c r="FN24" s="466">
        <f t="shared" si="39"/>
        <v>0</v>
      </c>
      <c r="FO24" s="772"/>
      <c r="FP24" s="678"/>
      <c r="FQ24" s="498">
        <f t="shared" si="40"/>
        <v>0</v>
      </c>
      <c r="FR24" s="516">
        <f>[1]Субсидия_факт!IV22</f>
        <v>0</v>
      </c>
      <c r="FS24" s="838">
        <f>[1]Субсидия_факт!IX22</f>
        <v>0</v>
      </c>
      <c r="FT24" s="466">
        <f t="shared" si="41"/>
        <v>0</v>
      </c>
      <c r="FU24" s="772"/>
      <c r="FV24" s="678"/>
      <c r="FW24" s="498">
        <f t="shared" si="42"/>
        <v>0</v>
      </c>
      <c r="FX24" s="516">
        <f>[1]Субсидия_факт!IZ22</f>
        <v>0</v>
      </c>
      <c r="FY24" s="838">
        <f>[1]Субсидия_факт!JD22</f>
        <v>0</v>
      </c>
      <c r="FZ24" s="466">
        <f t="shared" si="43"/>
        <v>0</v>
      </c>
      <c r="GA24" s="772"/>
      <c r="GB24" s="678"/>
      <c r="GC24" s="667">
        <f t="shared" si="119"/>
        <v>0</v>
      </c>
      <c r="GD24" s="669">
        <f t="shared" si="120"/>
        <v>0</v>
      </c>
      <c r="GE24" s="667">
        <f t="shared" si="121"/>
        <v>0</v>
      </c>
      <c r="GF24" s="669">
        <f t="shared" si="122"/>
        <v>0</v>
      </c>
      <c r="GG24" s="498">
        <f t="shared" si="123"/>
        <v>0</v>
      </c>
      <c r="GH24" s="1251">
        <f>[1]Субсидия_факт!BH22</f>
        <v>0</v>
      </c>
      <c r="GI24" s="676">
        <f>[1]Субсидия_факт!BJ22</f>
        <v>0</v>
      </c>
      <c r="GJ24" s="498">
        <f t="shared" si="124"/>
        <v>0</v>
      </c>
      <c r="GK24" s="724"/>
      <c r="GL24" s="678"/>
      <c r="GM24" s="498">
        <f t="shared" si="44"/>
        <v>0</v>
      </c>
      <c r="GN24" s="516"/>
      <c r="GO24" s="838"/>
      <c r="GP24" s="466">
        <f t="shared" si="45"/>
        <v>0</v>
      </c>
      <c r="GQ24" s="724"/>
      <c r="GR24" s="678"/>
      <c r="GS24" s="498">
        <f t="shared" si="46"/>
        <v>79092</v>
      </c>
      <c r="GT24" s="516">
        <f>[1]Субсидия_факт!FZ22</f>
        <v>39521.629999999997</v>
      </c>
      <c r="GU24" s="838">
        <f>[1]Субсидия_факт!GD22</f>
        <v>39570.370000000003</v>
      </c>
      <c r="GV24" s="466">
        <f t="shared" si="47"/>
        <v>0</v>
      </c>
      <c r="GW24" s="724"/>
      <c r="GX24" s="678"/>
      <c r="GY24" s="667">
        <f t="shared" si="48"/>
        <v>79092</v>
      </c>
      <c r="GZ24" s="516">
        <f t="shared" si="125"/>
        <v>39521.629999999997</v>
      </c>
      <c r="HA24" s="838">
        <f t="shared" si="125"/>
        <v>39570.370000000003</v>
      </c>
      <c r="HB24" s="669">
        <f t="shared" si="49"/>
        <v>0</v>
      </c>
      <c r="HC24" s="516">
        <f t="shared" si="125"/>
        <v>0</v>
      </c>
      <c r="HD24" s="838">
        <f t="shared" si="125"/>
        <v>0</v>
      </c>
      <c r="HE24" s="667">
        <f t="shared" si="50"/>
        <v>0</v>
      </c>
      <c r="HF24" s="516">
        <f>[1]Субсидия_факт!GB22</f>
        <v>0</v>
      </c>
      <c r="HG24" s="838">
        <f>[1]Субсидия_факт!GF22</f>
        <v>0</v>
      </c>
      <c r="HH24" s="669">
        <f t="shared" si="51"/>
        <v>0</v>
      </c>
      <c r="HI24" s="724"/>
      <c r="HJ24" s="678"/>
      <c r="HK24" s="526">
        <f t="shared" si="126"/>
        <v>0</v>
      </c>
      <c r="HL24" s="518">
        <f>[1]Субсидия_факт!DD22</f>
        <v>0</v>
      </c>
      <c r="HM24" s="752">
        <f>[1]Субсидия_факт!DF22</f>
        <v>0</v>
      </c>
      <c r="HN24" s="521">
        <f t="shared" si="127"/>
        <v>0</v>
      </c>
      <c r="HO24" s="531"/>
      <c r="HP24" s="706"/>
      <c r="HQ24" s="579">
        <f t="shared" si="54"/>
        <v>0</v>
      </c>
      <c r="HR24" s="516">
        <f>[1]Субсидия_факт!CR22</f>
        <v>0</v>
      </c>
      <c r="HS24" s="838">
        <f>[1]Субсидия_факт!CX22</f>
        <v>0</v>
      </c>
      <c r="HT24" s="466">
        <f t="shared" si="55"/>
        <v>0</v>
      </c>
      <c r="HU24" s="724"/>
      <c r="HV24" s="678"/>
      <c r="HW24" s="466">
        <f t="shared" si="56"/>
        <v>1645574.5799999998</v>
      </c>
      <c r="HX24" s="516">
        <f>[1]Субсидия_факт!CT22</f>
        <v>460760.92</v>
      </c>
      <c r="HY24" s="752">
        <f>[1]Субсидия_факт!CZ22</f>
        <v>1184813.6599999999</v>
      </c>
      <c r="HZ24" s="466">
        <f t="shared" si="57"/>
        <v>1330713.19</v>
      </c>
      <c r="IA24" s="757">
        <f t="shared" si="128"/>
        <v>372599.72</v>
      </c>
      <c r="IB24" s="789">
        <f t="shared" si="129"/>
        <v>958113.47</v>
      </c>
      <c r="IC24" s="625">
        <v>372599.72</v>
      </c>
      <c r="ID24" s="709">
        <v>958113.47</v>
      </c>
      <c r="IE24" s="669">
        <f t="shared" si="58"/>
        <v>1645574.5799999998</v>
      </c>
      <c r="IF24" s="750">
        <f>'Проверочная  таблица'!HX24-'Проверочная  таблица'!IL24</f>
        <v>460760.92</v>
      </c>
      <c r="IG24" s="676">
        <f>'Проверочная  таблица'!HY24-'Проверочная  таблица'!IM24</f>
        <v>1184813.6599999999</v>
      </c>
      <c r="IH24" s="663">
        <f t="shared" si="59"/>
        <v>1330713.19</v>
      </c>
      <c r="II24" s="757">
        <f>'Проверочная  таблица'!IA24-'Проверочная  таблица'!IO24</f>
        <v>372599.72</v>
      </c>
      <c r="IJ24" s="768">
        <f>'Проверочная  таблица'!IB24-'Проверочная  таблица'!IP24</f>
        <v>958113.47</v>
      </c>
      <c r="IK24" s="669">
        <f t="shared" si="60"/>
        <v>0</v>
      </c>
      <c r="IL24" s="516">
        <f>[1]Субсидия_факт!CV22</f>
        <v>0</v>
      </c>
      <c r="IM24" s="838">
        <f>[1]Субсидия_факт!DB22</f>
        <v>0</v>
      </c>
      <c r="IN24" s="669">
        <f t="shared" si="61"/>
        <v>0</v>
      </c>
      <c r="IO24" s="724"/>
      <c r="IP24" s="678"/>
      <c r="IQ24" s="466">
        <f t="shared" si="130"/>
        <v>38528352.199999996</v>
      </c>
      <c r="IR24" s="757">
        <f>[1]Субсидия_факт!CJ22</f>
        <v>0</v>
      </c>
      <c r="IS24" s="676">
        <f>[1]Субсидия_факт!CN22</f>
        <v>0</v>
      </c>
      <c r="IT24" s="757">
        <f>[1]Субсидия_факт!DH22</f>
        <v>0</v>
      </c>
      <c r="IU24" s="676">
        <f>[1]Субсидия_факт!DN22</f>
        <v>0</v>
      </c>
      <c r="IV24" s="525">
        <f>[1]Субсидия_факт!DX22</f>
        <v>9309538.6199999992</v>
      </c>
      <c r="IW24" s="689">
        <f>[1]Субсидия_факт!DZ22</f>
        <v>23938813.579999998</v>
      </c>
      <c r="IX24" s="1295">
        <f>[1]Субсидия_факт!DT22</f>
        <v>270124.21999999997</v>
      </c>
      <c r="IY24" s="676">
        <f>[1]Субсидия_факт!DV22</f>
        <v>5009875.78</v>
      </c>
      <c r="IZ24" s="516">
        <f>[1]Субсидия_факт!EB22</f>
        <v>0</v>
      </c>
      <c r="JA24" s="466">
        <f t="shared" si="131"/>
        <v>25633215.940000001</v>
      </c>
      <c r="JB24" s="625"/>
      <c r="JC24" s="678"/>
      <c r="JD24" s="625"/>
      <c r="JE24" s="678"/>
      <c r="JF24" s="531">
        <v>5698900.4699999997</v>
      </c>
      <c r="JG24" s="706">
        <v>14654315.470000001</v>
      </c>
      <c r="JH24" s="625">
        <v>270124.21999999997</v>
      </c>
      <c r="JI24" s="678">
        <v>5009875.78</v>
      </c>
      <c r="JJ24" s="757">
        <f t="shared" si="132"/>
        <v>0</v>
      </c>
      <c r="JK24" s="748">
        <f t="shared" si="133"/>
        <v>0</v>
      </c>
      <c r="JL24" s="757">
        <f>[1]Субсидия_факт!CL22</f>
        <v>0</v>
      </c>
      <c r="JM24" s="676">
        <f>[1]Субсидия_факт!CP22</f>
        <v>0</v>
      </c>
      <c r="JN24" s="757">
        <f>[1]Субсидия_факт!DJ22</f>
        <v>0</v>
      </c>
      <c r="JO24" s="676">
        <f>[1]Субсидия_факт!DP22</f>
        <v>0</v>
      </c>
      <c r="JP24" s="748">
        <f t="shared" si="134"/>
        <v>0</v>
      </c>
      <c r="JQ24" s="625"/>
      <c r="JR24" s="678"/>
      <c r="JS24" s="625"/>
      <c r="JT24" s="678"/>
      <c r="JU24" s="587">
        <f t="shared" si="135"/>
        <v>0</v>
      </c>
      <c r="JV24" s="757">
        <f>'Проверочная  таблица'!JL24-KF24</f>
        <v>0</v>
      </c>
      <c r="JW24" s="676">
        <f>'Проверочная  таблица'!JM24-KG24</f>
        <v>0</v>
      </c>
      <c r="JX24" s="757">
        <f>'Проверочная  таблица'!JN24-KH24</f>
        <v>0</v>
      </c>
      <c r="JY24" s="676">
        <f>'Проверочная  таблица'!JO24-KI24</f>
        <v>0</v>
      </c>
      <c r="JZ24" s="587">
        <f t="shared" si="136"/>
        <v>0</v>
      </c>
      <c r="KA24" s="757">
        <f>'Проверочная  таблица'!JQ24-KK24</f>
        <v>0</v>
      </c>
      <c r="KB24" s="676">
        <f>'Проверочная  таблица'!JR24-KL24</f>
        <v>0</v>
      </c>
      <c r="KC24" s="757">
        <f>'Проверочная  таблица'!JS24-KM24</f>
        <v>0</v>
      </c>
      <c r="KD24" s="789">
        <f>'Проверочная  таблица'!JT24-KN24</f>
        <v>0</v>
      </c>
      <c r="KE24" s="587">
        <f t="shared" si="137"/>
        <v>0</v>
      </c>
      <c r="KF24" s="625"/>
      <c r="KG24" s="678"/>
      <c r="KH24" s="757">
        <f>[1]Субсидия_факт!DL22</f>
        <v>0</v>
      </c>
      <c r="KI24" s="1519">
        <f>[1]Субсидия_факт!DR22</f>
        <v>0</v>
      </c>
      <c r="KJ24" s="587">
        <f t="shared" si="138"/>
        <v>0</v>
      </c>
      <c r="KK24" s="753"/>
      <c r="KL24" s="678"/>
      <c r="KM24" s="625"/>
      <c r="KN24" s="678"/>
      <c r="KO24" s="579">
        <f t="shared" si="139"/>
        <v>0</v>
      </c>
      <c r="KP24" s="516">
        <f>[1]Субсидия_факт!BX22</f>
        <v>0</v>
      </c>
      <c r="KQ24" s="838">
        <f>[1]Субсидия_факт!BZ22</f>
        <v>0</v>
      </c>
      <c r="KR24" s="516">
        <f>[1]Субсидия_факт!CB22</f>
        <v>0</v>
      </c>
      <c r="KS24" s="466">
        <f t="shared" si="140"/>
        <v>0</v>
      </c>
      <c r="KT24" s="625"/>
      <c r="KU24" s="678"/>
      <c r="KV24" s="625"/>
      <c r="KW24" s="498">
        <f t="shared" si="62"/>
        <v>0</v>
      </c>
      <c r="KX24" s="508">
        <f>[1]Субсидия_факт!GN22</f>
        <v>0</v>
      </c>
      <c r="KY24" s="466">
        <f t="shared" si="63"/>
        <v>0</v>
      </c>
      <c r="KZ24" s="625"/>
      <c r="LA24" s="754">
        <f t="shared" si="206"/>
        <v>0</v>
      </c>
      <c r="LB24" s="516">
        <f>[1]Субсидия_факт!JT22</f>
        <v>0</v>
      </c>
      <c r="LC24" s="838">
        <f>[1]Субсидия_факт!JZ22</f>
        <v>0</v>
      </c>
      <c r="LD24" s="508"/>
      <c r="LE24" s="754">
        <f t="shared" si="207"/>
        <v>0</v>
      </c>
      <c r="LF24" s="772"/>
      <c r="LG24" s="678"/>
      <c r="LH24" s="625"/>
      <c r="LI24" s="754">
        <f t="shared" si="141"/>
        <v>3000000</v>
      </c>
      <c r="LJ24" s="516">
        <f>[1]Субсидия_факт!JV22</f>
        <v>0</v>
      </c>
      <c r="LK24" s="838">
        <f>[1]Субсидия_факт!KB22</f>
        <v>0</v>
      </c>
      <c r="LL24" s="518">
        <f>[1]Субсидия_факт!KF22</f>
        <v>3000000</v>
      </c>
      <c r="LM24" s="754">
        <f t="shared" si="142"/>
        <v>0</v>
      </c>
      <c r="LN24" s="625"/>
      <c r="LO24" s="771"/>
      <c r="LP24" s="625"/>
      <c r="LQ24" s="756">
        <f t="shared" si="143"/>
        <v>3000000</v>
      </c>
      <c r="LR24" s="652">
        <f>'Проверочная  таблица'!LJ24-LZ24</f>
        <v>0</v>
      </c>
      <c r="LS24" s="682">
        <f>'Проверочная  таблица'!LK24-MA24</f>
        <v>0</v>
      </c>
      <c r="LT24" s="622">
        <f>'Проверочная  таблица'!LL24-MB24</f>
        <v>3000000</v>
      </c>
      <c r="LU24" s="756">
        <f t="shared" si="144"/>
        <v>0</v>
      </c>
      <c r="LV24" s="750">
        <f>'Проверочная  таблица'!LN24-MD24</f>
        <v>0</v>
      </c>
      <c r="LW24" s="676">
        <f>'Проверочная  таблица'!LO24-ME24</f>
        <v>0</v>
      </c>
      <c r="LX24" s="757">
        <f>'Проверочная  таблица'!LP24-MF24</f>
        <v>0</v>
      </c>
      <c r="LY24" s="756">
        <f t="shared" si="145"/>
        <v>0</v>
      </c>
      <c r="LZ24" s="516">
        <f>[1]Субсидия_факт!JX22</f>
        <v>0</v>
      </c>
      <c r="MA24" s="838">
        <f>[1]Субсидия_факт!KD22</f>
        <v>0</v>
      </c>
      <c r="MB24" s="516">
        <f>[1]Субсидия_факт!KH22</f>
        <v>0</v>
      </c>
      <c r="MC24" s="756">
        <f t="shared" si="146"/>
        <v>0</v>
      </c>
      <c r="MD24" s="750">
        <f t="shared" si="203"/>
        <v>0</v>
      </c>
      <c r="ME24" s="676">
        <f t="shared" si="204"/>
        <v>0</v>
      </c>
      <c r="MF24" s="516"/>
      <c r="MG24" s="521">
        <f t="shared" si="147"/>
        <v>1481540.83</v>
      </c>
      <c r="MH24" s="652">
        <f>[1]Субсидия_факт!KR22</f>
        <v>74077.040000000008</v>
      </c>
      <c r="MI24" s="682">
        <f>[1]Субсидия_факт!KV22</f>
        <v>1407463.79</v>
      </c>
      <c r="MJ24" s="750">
        <f>[1]Субсидия_факт!KZ22</f>
        <v>0</v>
      </c>
      <c r="MK24" s="1519">
        <f>[1]Субсидия_факт!LD22</f>
        <v>0</v>
      </c>
      <c r="ML24" s="521">
        <f t="shared" si="148"/>
        <v>0</v>
      </c>
      <c r="MM24" s="1609">
        <v>0</v>
      </c>
      <c r="MN24" s="706">
        <v>0</v>
      </c>
      <c r="MO24" s="342"/>
      <c r="MP24" s="770"/>
      <c r="MQ24" s="587">
        <f t="shared" si="149"/>
        <v>1481540.83</v>
      </c>
      <c r="MR24" s="1613">
        <f t="shared" si="64"/>
        <v>74077.040000000008</v>
      </c>
      <c r="MS24" s="682">
        <f t="shared" si="65"/>
        <v>1407463.79</v>
      </c>
      <c r="MT24" s="487">
        <f t="shared" si="66"/>
        <v>0</v>
      </c>
      <c r="MU24" s="682">
        <f t="shared" si="67"/>
        <v>0</v>
      </c>
      <c r="MV24" s="587">
        <f t="shared" si="150"/>
        <v>0</v>
      </c>
      <c r="MW24" s="487">
        <f t="shared" si="68"/>
        <v>0</v>
      </c>
      <c r="MX24" s="682">
        <f t="shared" si="69"/>
        <v>0</v>
      </c>
      <c r="MY24" s="487">
        <f t="shared" si="70"/>
        <v>0</v>
      </c>
      <c r="MZ24" s="682">
        <f t="shared" si="71"/>
        <v>0</v>
      </c>
      <c r="NA24" s="587">
        <f t="shared" si="151"/>
        <v>0</v>
      </c>
      <c r="NB24" s="1079">
        <f>[1]Субсидия_факт!KT22</f>
        <v>0</v>
      </c>
      <c r="NC24" s="682">
        <f>[1]Субсидия_факт!KX22</f>
        <v>0</v>
      </c>
      <c r="ND24" s="625">
        <f>[1]Субсидия_факт!LB22</f>
        <v>0</v>
      </c>
      <c r="NE24" s="709">
        <f>[1]Субсидия_факт!LF22</f>
        <v>0</v>
      </c>
      <c r="NF24" s="587">
        <f t="shared" si="152"/>
        <v>0</v>
      </c>
      <c r="NG24" s="487"/>
      <c r="NH24" s="712"/>
      <c r="NI24" s="342"/>
      <c r="NJ24" s="706"/>
      <c r="NK24" s="498">
        <f t="shared" si="72"/>
        <v>0</v>
      </c>
      <c r="NL24" s="516">
        <f>[1]Субсидия_факт!AB22</f>
        <v>0</v>
      </c>
      <c r="NM24" s="838">
        <f>[1]Субсидия_факт!AD22</f>
        <v>0</v>
      </c>
      <c r="NN24" s="466">
        <f t="shared" si="73"/>
        <v>0</v>
      </c>
      <c r="NO24" s="772"/>
      <c r="NP24" s="987"/>
      <c r="NQ24" s="521">
        <f t="shared" si="153"/>
        <v>0</v>
      </c>
      <c r="NR24" s="506">
        <f>[1]Субсидия_факт!LH22</f>
        <v>0</v>
      </c>
      <c r="NS24" s="866">
        <f>[1]Субсидия_факт!LJ22</f>
        <v>0</v>
      </c>
      <c r="NT24" s="525">
        <f>[1]Субсидия_факт!MN22</f>
        <v>0</v>
      </c>
      <c r="NU24" s="689">
        <f>[1]Субсидия_факт!MP22</f>
        <v>0</v>
      </c>
      <c r="NV24" s="1147">
        <f>[1]Субсидия_факт!MB22</f>
        <v>0</v>
      </c>
      <c r="NW24" s="682">
        <f>[1]Субсидия_факт!MH22</f>
        <v>0</v>
      </c>
      <c r="NX24" s="521">
        <f t="shared" si="154"/>
        <v>0</v>
      </c>
      <c r="NY24" s="474"/>
      <c r="NZ24" s="686"/>
      <c r="OA24" s="474"/>
      <c r="OB24" s="686"/>
      <c r="OC24" s="342"/>
      <c r="OD24" s="1279"/>
      <c r="OE24" s="521">
        <f t="shared" si="155"/>
        <v>0</v>
      </c>
      <c r="OF24" s="652">
        <f>[1]Субсидия_факт!KJ22</f>
        <v>0</v>
      </c>
      <c r="OG24" s="682">
        <f>[1]Субсидия_факт!KN22</f>
        <v>0</v>
      </c>
      <c r="OH24" s="652">
        <f>[1]Субсидия_факт!LL22</f>
        <v>0</v>
      </c>
      <c r="OI24" s="682">
        <f>[1]Субсидия_факт!LP22</f>
        <v>0</v>
      </c>
      <c r="OJ24" s="652">
        <f>[1]Субсидия_факт!MD22</f>
        <v>0</v>
      </c>
      <c r="OK24" s="682">
        <f>[1]Субсидия_факт!MJ22</f>
        <v>0</v>
      </c>
      <c r="OL24" s="521">
        <f t="shared" si="156"/>
        <v>0</v>
      </c>
      <c r="OM24" s="487"/>
      <c r="ON24" s="712"/>
      <c r="OO24" s="474"/>
      <c r="OP24" s="686"/>
      <c r="OQ24" s="487"/>
      <c r="OR24" s="712"/>
      <c r="OS24" s="587">
        <f t="shared" si="157"/>
        <v>0</v>
      </c>
      <c r="OT24" s="1066">
        <f t="shared" si="74"/>
        <v>0</v>
      </c>
      <c r="OU24" s="682">
        <f t="shared" si="75"/>
        <v>0</v>
      </c>
      <c r="OV24" s="1066">
        <f t="shared" si="76"/>
        <v>0</v>
      </c>
      <c r="OW24" s="682">
        <f t="shared" si="77"/>
        <v>0</v>
      </c>
      <c r="OX24" s="1147">
        <f t="shared" si="78"/>
        <v>0</v>
      </c>
      <c r="OY24" s="682">
        <f t="shared" si="79"/>
        <v>0</v>
      </c>
      <c r="OZ24" s="587">
        <f t="shared" si="158"/>
        <v>0</v>
      </c>
      <c r="PA24" s="1066">
        <f t="shared" si="80"/>
        <v>0</v>
      </c>
      <c r="PB24" s="682">
        <f t="shared" si="81"/>
        <v>0</v>
      </c>
      <c r="PC24" s="1066">
        <f t="shared" si="82"/>
        <v>0</v>
      </c>
      <c r="PD24" s="682">
        <f t="shared" si="83"/>
        <v>0</v>
      </c>
      <c r="PE24" s="1147">
        <f t="shared" si="84"/>
        <v>0</v>
      </c>
      <c r="PF24" s="682">
        <f t="shared" si="85"/>
        <v>0</v>
      </c>
      <c r="PG24" s="587">
        <f t="shared" si="159"/>
        <v>0</v>
      </c>
      <c r="PH24" s="1079">
        <f>[1]Субсидия_факт!KL22</f>
        <v>0</v>
      </c>
      <c r="PI24" s="682">
        <f>[1]Субсидия_факт!KP22</f>
        <v>0</v>
      </c>
      <c r="PJ24" s="652">
        <f>[1]Субсидия_факт!LN22</f>
        <v>0</v>
      </c>
      <c r="PK24" s="682">
        <f>[1]Субсидия_факт!LR22</f>
        <v>0</v>
      </c>
      <c r="PL24" s="652">
        <f>[1]Субсидия_факт!MF22</f>
        <v>0</v>
      </c>
      <c r="PM24" s="682">
        <f>[1]Субсидия_факт!ML22</f>
        <v>0</v>
      </c>
      <c r="PN24" s="587">
        <f t="shared" si="160"/>
        <v>0</v>
      </c>
      <c r="PO24" s="487"/>
      <c r="PP24" s="712"/>
      <c r="PQ24" s="474"/>
      <c r="PR24" s="686"/>
      <c r="PS24" s="487"/>
      <c r="PT24" s="712"/>
      <c r="PU24" s="466">
        <f t="shared" si="161"/>
        <v>0</v>
      </c>
      <c r="PV24" s="516">
        <f>[1]Субсидия_факт!MR22</f>
        <v>0</v>
      </c>
      <c r="PW24" s="838">
        <f>[1]Субсидия_факт!MX22</f>
        <v>0</v>
      </c>
      <c r="PX24" s="466">
        <f t="shared" si="162"/>
        <v>0</v>
      </c>
      <c r="PY24" s="724"/>
      <c r="PZ24" s="678"/>
      <c r="QA24" s="579">
        <f t="shared" si="163"/>
        <v>0</v>
      </c>
      <c r="QB24" s="516">
        <f>[1]Субсидия_факт!MT22</f>
        <v>0</v>
      </c>
      <c r="QC24" s="838">
        <f>[1]Субсидия_факт!MZ22</f>
        <v>0</v>
      </c>
      <c r="QD24" s="466">
        <f t="shared" si="164"/>
        <v>0</v>
      </c>
      <c r="QE24" s="724"/>
      <c r="QF24" s="987"/>
      <c r="QG24" s="669">
        <f t="shared" si="165"/>
        <v>0</v>
      </c>
      <c r="QH24" s="516">
        <f t="shared" si="166"/>
        <v>0</v>
      </c>
      <c r="QI24" s="838">
        <f t="shared" si="167"/>
        <v>0</v>
      </c>
      <c r="QJ24" s="669">
        <f t="shared" si="168"/>
        <v>0</v>
      </c>
      <c r="QK24" s="516">
        <f t="shared" si="169"/>
        <v>0</v>
      </c>
      <c r="QL24" s="838">
        <f t="shared" si="170"/>
        <v>0</v>
      </c>
      <c r="QM24" s="669">
        <f t="shared" si="171"/>
        <v>0</v>
      </c>
      <c r="QN24" s="516">
        <f>[1]Субсидия_факт!MV22</f>
        <v>0</v>
      </c>
      <c r="QO24" s="838">
        <f>[1]Субсидия_факт!NB22</f>
        <v>0</v>
      </c>
      <c r="QP24" s="669">
        <f t="shared" si="172"/>
        <v>0</v>
      </c>
      <c r="QQ24" s="516">
        <f>[1]Субсидия_факт!NI22</f>
        <v>0</v>
      </c>
      <c r="QR24" s="752">
        <f>[1]Субсидия_факт!NO22</f>
        <v>0</v>
      </c>
      <c r="QS24" s="521">
        <f>'Прочая  субсидия_МР  и  ГО'!B20</f>
        <v>13870029.77</v>
      </c>
      <c r="QT24" s="521">
        <f>'Прочая  субсидия_МР  и  ГО'!C20</f>
        <v>8315114.7399999993</v>
      </c>
      <c r="QU24" s="524">
        <f>'Прочая  субсидия_БП'!B20</f>
        <v>6006713.3899999997</v>
      </c>
      <c r="QV24" s="526">
        <f>'Прочая  субсидия_БП'!C20</f>
        <v>1983799.79</v>
      </c>
      <c r="QW24" s="583">
        <f>'Прочая  субсидия_БП'!D20</f>
        <v>6006713.3899999997</v>
      </c>
      <c r="QX24" s="582">
        <f>'Прочая  субсидия_БП'!E20</f>
        <v>1983799.79</v>
      </c>
      <c r="QY24" s="588">
        <f>'Прочая  субсидия_БП'!F20</f>
        <v>0</v>
      </c>
      <c r="QZ24" s="583">
        <f>'Прочая  субсидия_БП'!G20</f>
        <v>0</v>
      </c>
      <c r="RA24" s="526">
        <f t="shared" si="173"/>
        <v>632694277.02999985</v>
      </c>
      <c r="RB24" s="525">
        <f>'Проверочная  таблица'!SF24+'Проверочная  таблица'!RG24+'Проверочная  таблица'!RI24+'Проверочная  таблица'!RK24+RX24</f>
        <v>611114254.88999987</v>
      </c>
      <c r="RC24" s="508">
        <f>'Проверочная  таблица'!SG24+'Проверочная  таблица'!RM24+'Проверочная  таблица'!RS24+'Проверочная  таблица'!RO24+'Проверочная  таблица'!RQ24+RU24+RY24+SC24</f>
        <v>21580022.140000004</v>
      </c>
      <c r="RD24" s="521">
        <f t="shared" si="174"/>
        <v>467208004.62</v>
      </c>
      <c r="RE24" s="506">
        <f>'Проверочная  таблица'!SI24+'Проверочная  таблица'!RH24+'Проверочная  таблица'!RJ24+'Проверочная  таблица'!RL24+SA24</f>
        <v>456366446.13999999</v>
      </c>
      <c r="RF24" s="508">
        <f>'Проверочная  таблица'!SJ24+'Проверочная  таблица'!RN24+'Проверочная  таблица'!RT24+'Проверочная  таблица'!RP24+'Проверочная  таблица'!RR24+RV24+SB24+SD24</f>
        <v>10841558.48</v>
      </c>
      <c r="RG24" s="579">
        <f>'Субвенция  на  полномочия'!B20</f>
        <v>582157042.89999986</v>
      </c>
      <c r="RH24" s="466">
        <f>'Субвенция  на  полномочия'!C20</f>
        <v>436091606.08999997</v>
      </c>
      <c r="RI24" s="733">
        <f>[1]Субвенция_факт!Q21*1000</f>
        <v>17349917</v>
      </c>
      <c r="RJ24" s="736">
        <v>13000000</v>
      </c>
      <c r="RK24" s="733">
        <f>[1]Субвенция_факт!J21*1000</f>
        <v>4900540</v>
      </c>
      <c r="RL24" s="736">
        <v>3500000</v>
      </c>
      <c r="RM24" s="733">
        <f>[1]Субвенция_факт!AE21*1000</f>
        <v>3348300</v>
      </c>
      <c r="RN24" s="736">
        <v>1992552.54</v>
      </c>
      <c r="RO24" s="733">
        <f>[1]Субвенция_факт!AF21*1000</f>
        <v>7000</v>
      </c>
      <c r="RP24" s="736">
        <v>0</v>
      </c>
      <c r="RQ24" s="733">
        <f>[1]Субвенция_факт!E21*1000</f>
        <v>515500</v>
      </c>
      <c r="RR24" s="736"/>
      <c r="RS24" s="733">
        <f>[1]Субвенция_факт!F21*1000</f>
        <v>0</v>
      </c>
      <c r="RT24" s="827"/>
      <c r="RU24" s="170">
        <f>[1]Субвенция_факт!G21*1000</f>
        <v>0</v>
      </c>
      <c r="RV24" s="1109"/>
      <c r="RW24" s="521">
        <f t="shared" si="88"/>
        <v>20791982.120000001</v>
      </c>
      <c r="RX24" s="622">
        <f>[1]Субвенция_факт!N21*1000</f>
        <v>5821754.9900000002</v>
      </c>
      <c r="RY24" s="682">
        <f>[1]Субвенция_факт!O21*1000</f>
        <v>14970227.130000001</v>
      </c>
      <c r="RZ24" s="521">
        <f t="shared" si="89"/>
        <v>10329785.899999999</v>
      </c>
      <c r="SA24" s="773">
        <v>2892340.05</v>
      </c>
      <c r="SB24" s="1279">
        <v>7437445.8499999996</v>
      </c>
      <c r="SC24" s="170">
        <f>[1]Субвенция_факт!AG21*1000</f>
        <v>828995.01</v>
      </c>
      <c r="SD24" s="1277"/>
      <c r="SE24" s="498">
        <f t="shared" si="175"/>
        <v>2795000</v>
      </c>
      <c r="SF24" s="833">
        <f>[1]Субвенция_факт!AD21*1000</f>
        <v>885000</v>
      </c>
      <c r="SG24" s="1562">
        <f>[1]Субвенция_факт!AC21*1000</f>
        <v>1910000</v>
      </c>
      <c r="SH24" s="521">
        <f t="shared" si="176"/>
        <v>2294060.09</v>
      </c>
      <c r="SI24" s="1557">
        <v>882500</v>
      </c>
      <c r="SJ24" s="1635">
        <v>1411560.09</v>
      </c>
      <c r="SK24" s="280">
        <f>'Проверочная  таблица'!VC24+'Проверочная  таблица'!UO24+'Проверочная  таблица'!SY24+'Проверочная  таблица'!TC24+UA24+UG24+TK24+TQ24+SM24+SS24</f>
        <v>29598944.84</v>
      </c>
      <c r="SL24" s="170">
        <f>'Проверочная  таблица'!VF24+'Проверочная  таблица'!UV24+'Проверочная  таблица'!TA24+'Проверочная  таблица'!TE24+UD24+UK24+TN24+TT24+SP24+SV24</f>
        <v>20480243.16</v>
      </c>
      <c r="SM24" s="524">
        <f t="shared" si="92"/>
        <v>22186080</v>
      </c>
      <c r="SN24" s="833">
        <f>'[1]Иные межбюджетные трансферты'!I22</f>
        <v>0</v>
      </c>
      <c r="SO24" s="880">
        <f>'[1]Иные межбюджетные трансферты'!K22</f>
        <v>22186080</v>
      </c>
      <c r="SP24" s="521">
        <f t="shared" si="93"/>
        <v>14667378.32</v>
      </c>
      <c r="SQ24" s="1421"/>
      <c r="SR24" s="1422">
        <v>14667378.32</v>
      </c>
      <c r="SS24" s="521">
        <f t="shared" si="177"/>
        <v>0</v>
      </c>
      <c r="ST24" s="1082">
        <f>'[1]Иные межбюджетные трансферты'!Y22</f>
        <v>0</v>
      </c>
      <c r="SU24" s="1630">
        <f>'[1]Иные межбюджетные трансферты'!AE22</f>
        <v>0</v>
      </c>
      <c r="SV24" s="521">
        <f t="shared" si="178"/>
        <v>0</v>
      </c>
      <c r="SW24" s="906"/>
      <c r="SX24" s="1422"/>
      <c r="SY24" s="1254">
        <f t="shared" si="94"/>
        <v>0</v>
      </c>
      <c r="SZ24" s="1009">
        <f>'[1]Иные межбюджетные трансферты'!AG22</f>
        <v>0</v>
      </c>
      <c r="TA24" s="899">
        <f t="shared" si="95"/>
        <v>0</v>
      </c>
      <c r="TB24" s="1422"/>
      <c r="TC24" s="903">
        <f t="shared" si="96"/>
        <v>0</v>
      </c>
      <c r="TD24" s="1009">
        <f>'[1]Иные межбюджетные трансферты'!AI22</f>
        <v>0</v>
      </c>
      <c r="TE24" s="899">
        <f t="shared" si="97"/>
        <v>0</v>
      </c>
      <c r="TF24" s="1082"/>
      <c r="TG24" s="901">
        <f t="shared" si="98"/>
        <v>0</v>
      </c>
      <c r="TH24" s="897">
        <f t="shared" si="99"/>
        <v>0</v>
      </c>
      <c r="TI24" s="1086">
        <f t="shared" si="179"/>
        <v>0</v>
      </c>
      <c r="TJ24" s="897">
        <f t="shared" si="180"/>
        <v>0</v>
      </c>
      <c r="TK24" s="903">
        <f t="shared" si="181"/>
        <v>0</v>
      </c>
      <c r="TL24" s="1079"/>
      <c r="TM24" s="682"/>
      <c r="TN24" s="903">
        <f t="shared" si="182"/>
        <v>0</v>
      </c>
      <c r="TO24" s="773"/>
      <c r="TP24" s="686"/>
      <c r="TQ24" s="903">
        <f t="shared" si="183"/>
        <v>0</v>
      </c>
      <c r="TR24" s="1079">
        <f>'[1]Иные межбюджетные трансферты'!AQ22</f>
        <v>0</v>
      </c>
      <c r="TS24" s="682">
        <f>'[1]Иные межбюджетные трансферты'!AU22</f>
        <v>0</v>
      </c>
      <c r="TT24" s="899">
        <f t="shared" si="184"/>
        <v>0</v>
      </c>
      <c r="TU24" s="753"/>
      <c r="TV24" s="771"/>
      <c r="TW24" s="820">
        <f t="shared" si="185"/>
        <v>0</v>
      </c>
      <c r="TX24" s="820">
        <f t="shared" si="186"/>
        <v>0</v>
      </c>
      <c r="TY24" s="820">
        <f t="shared" si="187"/>
        <v>0</v>
      </c>
      <c r="TZ24" s="1199">
        <f t="shared" si="188"/>
        <v>0</v>
      </c>
      <c r="UA24" s="1134">
        <f t="shared" si="100"/>
        <v>0</v>
      </c>
      <c r="UB24" s="945">
        <f>'[1]Иные межбюджетные трансферты'!U22</f>
        <v>0</v>
      </c>
      <c r="UC24" s="1133">
        <f>'[1]Иные межбюджетные трансферты'!W22</f>
        <v>0</v>
      </c>
      <c r="UD24" s="734">
        <f t="shared" si="101"/>
        <v>0</v>
      </c>
      <c r="UE24" s="945"/>
      <c r="UF24" s="1133"/>
      <c r="UG24" s="734">
        <f t="shared" si="189"/>
        <v>0</v>
      </c>
      <c r="UH24" s="945">
        <f>'[1]Иные межбюджетные трансферты'!O22</f>
        <v>0</v>
      </c>
      <c r="UI24" s="1133">
        <f>'[1]Иные межбюджетные трансферты'!Q22</f>
        <v>0</v>
      </c>
      <c r="UJ24" s="1133">
        <f>'[1]Иные межбюджетные трансферты'!S22</f>
        <v>0</v>
      </c>
      <c r="UK24" s="734">
        <f t="shared" si="190"/>
        <v>0</v>
      </c>
      <c r="UL24" s="1513"/>
      <c r="UM24" s="1426"/>
      <c r="UN24" s="1624"/>
      <c r="UO24" s="1585">
        <f t="shared" si="191"/>
        <v>3518213.2800000003</v>
      </c>
      <c r="UP24" s="833">
        <f>'[1]Иные межбюджетные трансферты'!E22</f>
        <v>0</v>
      </c>
      <c r="UQ24" s="880">
        <f>'[1]Иные межбюджетные трансферты'!G22</f>
        <v>0</v>
      </c>
      <c r="UR24" s="830">
        <f>'[1]Иные межбюджетные трансферты'!M22</f>
        <v>1600000</v>
      </c>
      <c r="US24" s="1044"/>
      <c r="UT24" s="1498">
        <f>'[1]Иные межбюджетные трансферты'!AY22</f>
        <v>0</v>
      </c>
      <c r="UU24" s="1539">
        <f>'[1]Иные межбюджетные трансферты'!BA22</f>
        <v>1918213.28</v>
      </c>
      <c r="UV24" s="834">
        <f t="shared" si="192"/>
        <v>1918213.28</v>
      </c>
      <c r="UW24" s="908"/>
      <c r="UX24" s="906"/>
      <c r="UY24" s="1425">
        <v>0</v>
      </c>
      <c r="UZ24" s="516"/>
      <c r="VA24" s="518">
        <f t="shared" si="102"/>
        <v>0</v>
      </c>
      <c r="VB24" s="516">
        <f t="shared" si="193"/>
        <v>1918213.28</v>
      </c>
      <c r="VC24" s="899">
        <f t="shared" si="194"/>
        <v>3894651.56</v>
      </c>
      <c r="VD24" s="830">
        <f>'[1]Иные межбюджетные трансферты'!AM22</f>
        <v>229665</v>
      </c>
      <c r="VE24" s="1587">
        <f>'[1]Иные межбюджетные трансферты'!BC22</f>
        <v>3664986.56</v>
      </c>
      <c r="VF24" s="1495">
        <f t="shared" si="195"/>
        <v>3894651.56</v>
      </c>
      <c r="VG24" s="753">
        <v>229665</v>
      </c>
      <c r="VH24" s="1251">
        <f t="shared" si="196"/>
        <v>3664986.56</v>
      </c>
      <c r="VI24" s="1199">
        <f t="shared" si="197"/>
        <v>3894651.56</v>
      </c>
      <c r="VJ24" s="516">
        <f>'Проверочная  таблица'!VD24-VP24</f>
        <v>229665</v>
      </c>
      <c r="VK24" s="516">
        <f>'Проверочная  таблица'!VE24-VQ24</f>
        <v>3664986.56</v>
      </c>
      <c r="VL24" s="1199">
        <f t="shared" si="198"/>
        <v>3894651.56</v>
      </c>
      <c r="VM24" s="516">
        <f>'Проверочная  таблица'!VG24-VS24</f>
        <v>229665</v>
      </c>
      <c r="VN24" s="516">
        <f>'Проверочная  таблица'!VH24-VT24</f>
        <v>3664986.56</v>
      </c>
      <c r="VO24" s="1199">
        <f t="shared" si="199"/>
        <v>0</v>
      </c>
      <c r="VP24" s="833">
        <f>'[1]Иные межбюджетные трансферты'!AO22</f>
        <v>0</v>
      </c>
      <c r="VQ24" s="830">
        <f>'[1]Иные межбюджетные трансферты'!BE22</f>
        <v>0</v>
      </c>
      <c r="VR24" s="1501">
        <f t="shared" si="200"/>
        <v>0</v>
      </c>
      <c r="VS24" s="1492"/>
      <c r="VT24" s="518">
        <f t="shared" si="201"/>
        <v>0</v>
      </c>
      <c r="VU24" s="521">
        <f>VW24+'Проверочная  таблица'!WE24+WA24+'Проверочная  таблица'!WI24+WC24+'Проверочная  таблица'!WK24</f>
        <v>0</v>
      </c>
      <c r="VV24" s="521">
        <f>VX24+'Проверочная  таблица'!WF24+WB24+'Проверочная  таблица'!WJ24+WD24+'Проверочная  таблица'!WL24</f>
        <v>0</v>
      </c>
      <c r="VW24" s="533"/>
      <c r="VX24" s="533"/>
      <c r="VY24" s="533"/>
      <c r="VZ24" s="533"/>
      <c r="WA24" s="530">
        <f t="shared" si="103"/>
        <v>0</v>
      </c>
      <c r="WB24" s="528">
        <f t="shared" si="104"/>
        <v>0</v>
      </c>
      <c r="WC24" s="534"/>
      <c r="WD24" s="523"/>
      <c r="WE24" s="533"/>
      <c r="WF24" s="533"/>
      <c r="WG24" s="533"/>
      <c r="WH24" s="533"/>
      <c r="WI24" s="530">
        <f t="shared" si="105"/>
        <v>0</v>
      </c>
      <c r="WJ24" s="528">
        <f t="shared" si="106"/>
        <v>0</v>
      </c>
      <c r="WK24" s="523"/>
      <c r="WL24" s="523"/>
      <c r="WM24" s="252">
        <f>'Проверочная  таблица'!WE24+'Проверочная  таблица'!WG24</f>
        <v>0</v>
      </c>
      <c r="WN24" s="252">
        <f>'Проверочная  таблица'!WF24+'Проверочная  таблица'!WH24</f>
        <v>0</v>
      </c>
      <c r="WO24" s="1042"/>
    </row>
    <row r="25" spans="1:613" s="338" customFormat="1" ht="25.5" customHeight="1" x14ac:dyDescent="0.25">
      <c r="A25" s="347" t="s">
        <v>92</v>
      </c>
      <c r="B25" s="526">
        <f>D25+AI25+'Проверочная  таблица'!RA25+'Проверочная  таблица'!SK25</f>
        <v>497231109.08999991</v>
      </c>
      <c r="C25" s="521">
        <f>E25+'Проверочная  таблица'!RD25+AJ25+'Проверочная  таблица'!SL25</f>
        <v>316946555.83000004</v>
      </c>
      <c r="D25" s="524">
        <f t="shared" si="0"/>
        <v>115012257</v>
      </c>
      <c r="E25" s="526">
        <f t="shared" si="1"/>
        <v>86151357</v>
      </c>
      <c r="F25" s="581">
        <f>'[1]Дотация  из  ОБ_факт'!M21</f>
        <v>60428800</v>
      </c>
      <c r="G25" s="963">
        <v>45321000</v>
      </c>
      <c r="H25" s="581">
        <f>'[1]Дотация  из  ОБ_факт'!G21</f>
        <v>18871000</v>
      </c>
      <c r="I25" s="963">
        <v>14205900</v>
      </c>
      <c r="J25" s="582">
        <f t="shared" si="2"/>
        <v>18871000</v>
      </c>
      <c r="K25" s="588">
        <f t="shared" si="3"/>
        <v>14205900</v>
      </c>
      <c r="L25" s="835">
        <f>'[1]Дотация  из  ОБ_факт'!K21</f>
        <v>0</v>
      </c>
      <c r="M25" s="1446"/>
      <c r="N25" s="581">
        <f>'[1]Дотация  из  ОБ_факт'!Q21</f>
        <v>1425170</v>
      </c>
      <c r="O25" s="963">
        <v>962000</v>
      </c>
      <c r="P25" s="581">
        <f>'[1]Дотация  из  ОБ_факт'!S21</f>
        <v>34287287</v>
      </c>
      <c r="Q25" s="1442">
        <v>25662457</v>
      </c>
      <c r="R25" s="588">
        <f t="shared" si="4"/>
        <v>34287287</v>
      </c>
      <c r="S25" s="583">
        <f t="shared" si="5"/>
        <v>25662457</v>
      </c>
      <c r="T25" s="835">
        <f>'[1]Дотация  из  ОБ_факт'!W21</f>
        <v>0</v>
      </c>
      <c r="U25" s="1448"/>
      <c r="V25" s="581">
        <f>'[1]Дотация  из  ОБ_факт'!AA21+'[1]Дотация  из  ОБ_факт'!AC21+'[1]Дотация  из  ОБ_факт'!AG21</f>
        <v>0</v>
      </c>
      <c r="W25" s="461">
        <f t="shared" si="6"/>
        <v>0</v>
      </c>
      <c r="X25" s="585"/>
      <c r="Y25" s="584"/>
      <c r="Z25" s="585"/>
      <c r="AA25" s="581">
        <f>'[1]Дотация  из  ОБ_факт'!Y21+'[1]Дотация  из  ОБ_факт'!AE21</f>
        <v>0</v>
      </c>
      <c r="AB25" s="172">
        <f t="shared" si="7"/>
        <v>0</v>
      </c>
      <c r="AC25" s="584"/>
      <c r="AD25" s="585"/>
      <c r="AE25" s="582">
        <f t="shared" si="8"/>
        <v>0</v>
      </c>
      <c r="AF25" s="588">
        <f t="shared" si="9"/>
        <v>0</v>
      </c>
      <c r="AG25" s="1187">
        <f>'[1]Дотация  из  ОБ_факт'!AE21</f>
        <v>0</v>
      </c>
      <c r="AH25" s="1480">
        <f t="shared" si="107"/>
        <v>0</v>
      </c>
      <c r="AI25" s="579">
        <f>'Проверочная  таблица'!KW25+'Проверочная  таблица'!QS25+'Проверочная  таблица'!QU25+CS25+CU25+DA25+DC25+BU25+CE25+'Проверочная  таблица'!IQ25+'Проверочная  таблица'!JK25+'Проверочная  таблица'!EE25+'Проверочная  таблица'!KO25+DQ25+'Проверочная  таблица'!HQ25+'Проверочная  таблица'!HW25+'Проверочная  таблица'!LA25+'Проверочная  таблица'!LI25+HK25+FQ25+FE25+NK25+EY25+AK25+AW25+FK25+GM25+GS25+DI25+NQ25+FW25+EK25+OE25+MG25+GG25+PU25+QA25</f>
        <v>98678677.890000001</v>
      </c>
      <c r="AJ25" s="498">
        <f>'Проверочная  таблица'!KY25+'Проверочная  таблица'!QT25+'Проверочная  таблица'!QV25+CT25+CV25+DB25+DD25+BZ25+CJ25+'Проверочная  таблица'!JA25+'Проверочная  таблица'!JP25+'Проверочная  таблица'!EH25+'Проверочная  таблица'!KS25+DX25+'Проверочная  таблица'!HT25+'Проверочная  таблица'!HZ25+'Проверочная  таблица'!LE25+'Проверочная  таблица'!LM25+HN25+FN25+FT25+FH25+NN25+FB25+AQ25+BA25+GP25+GV25+DM25+NX25+FZ25+ER25+OL25+ML25+GJ25+PX25+QD25</f>
        <v>27744528.309999999</v>
      </c>
      <c r="AK25" s="466">
        <f t="shared" si="108"/>
        <v>0</v>
      </c>
      <c r="AL25" s="525">
        <f>[1]Субсидия_факт!CD23</f>
        <v>0</v>
      </c>
      <c r="AM25" s="508">
        <f>[1]Субсидия_факт!EX23</f>
        <v>0</v>
      </c>
      <c r="AN25" s="506">
        <f>[1]Субсидия_факт!FJ23</f>
        <v>0</v>
      </c>
      <c r="AO25" s="525">
        <f>[1]Субсидия_факт!LT23</f>
        <v>0</v>
      </c>
      <c r="AP25" s="622">
        <f>[1]Субсидия_факт!LZ23</f>
        <v>0</v>
      </c>
      <c r="AQ25" s="748">
        <f t="shared" si="109"/>
        <v>0</v>
      </c>
      <c r="AR25" s="474"/>
      <c r="AS25" s="474"/>
      <c r="AT25" s="474"/>
      <c r="AU25" s="474"/>
      <c r="AV25" s="531"/>
      <c r="AW25" s="498">
        <f t="shared" si="10"/>
        <v>0</v>
      </c>
      <c r="AX25" s="525">
        <f>[1]Субсидия_факт!CF23</f>
        <v>0</v>
      </c>
      <c r="AY25" s="508">
        <f>[1]Субсидия_факт!FB23</f>
        <v>0</v>
      </c>
      <c r="AZ25" s="646">
        <f>[1]Субсидия_факт!LV23</f>
        <v>0</v>
      </c>
      <c r="BA25" s="466">
        <f t="shared" si="11"/>
        <v>0</v>
      </c>
      <c r="BB25" s="531"/>
      <c r="BC25" s="531"/>
      <c r="BD25" s="532"/>
      <c r="BE25" s="669">
        <f t="shared" si="12"/>
        <v>0</v>
      </c>
      <c r="BF25" s="652">
        <f t="shared" si="13"/>
        <v>0</v>
      </c>
      <c r="BG25" s="464">
        <f t="shared" si="14"/>
        <v>0</v>
      </c>
      <c r="BH25" s="341">
        <f t="shared" si="15"/>
        <v>0</v>
      </c>
      <c r="BI25" s="669">
        <f t="shared" si="16"/>
        <v>0</v>
      </c>
      <c r="BJ25" s="622">
        <f t="shared" si="17"/>
        <v>0</v>
      </c>
      <c r="BK25" s="506">
        <f t="shared" si="18"/>
        <v>0</v>
      </c>
      <c r="BL25" s="341">
        <f t="shared" si="19"/>
        <v>0</v>
      </c>
      <c r="BM25" s="667">
        <f t="shared" si="20"/>
        <v>0</v>
      </c>
      <c r="BN25" s="525">
        <f>[1]Субсидия_факт!CH23</f>
        <v>0</v>
      </c>
      <c r="BO25" s="508">
        <f>[1]Субсидия_факт!FD23</f>
        <v>0</v>
      </c>
      <c r="BP25" s="646">
        <f>[1]Субсидия_факт!LX23</f>
        <v>0</v>
      </c>
      <c r="BQ25" s="669">
        <f t="shared" si="21"/>
        <v>0</v>
      </c>
      <c r="BR25" s="532"/>
      <c r="BS25" s="531"/>
      <c r="BT25" s="532"/>
      <c r="BU25" s="521">
        <f t="shared" si="110"/>
        <v>62427459.899999999</v>
      </c>
      <c r="BV25" s="562">
        <f>[1]Субсидия_факт!HB23</f>
        <v>43533286</v>
      </c>
      <c r="BW25" s="516">
        <f>[1]Субсидия_факт!HH23</f>
        <v>18894173.899999999</v>
      </c>
      <c r="BX25" s="531">
        <f>[1]Субсидия_факт!HP23</f>
        <v>0</v>
      </c>
      <c r="BY25" s="562">
        <f>[1]Субсидия_факт!HV23</f>
        <v>0</v>
      </c>
      <c r="BZ25" s="521">
        <f t="shared" si="111"/>
        <v>20803679.899999999</v>
      </c>
      <c r="CA25" s="531">
        <v>12265855.57</v>
      </c>
      <c r="CB25" s="531">
        <v>8537824.3300000001</v>
      </c>
      <c r="CC25" s="625"/>
      <c r="CD25" s="625"/>
      <c r="CE25" s="526">
        <f t="shared" si="112"/>
        <v>0</v>
      </c>
      <c r="CF25" s="525">
        <f>[1]Субсидия_факт!HD23</f>
        <v>0</v>
      </c>
      <c r="CG25" s="525">
        <f>[1]Субсидия_факт!HJ23</f>
        <v>0</v>
      </c>
      <c r="CH25" s="531">
        <f>[1]Субсидия_факт!HR23</f>
        <v>0</v>
      </c>
      <c r="CI25" s="646">
        <f>[1]Субсидия_факт!HX23</f>
        <v>0</v>
      </c>
      <c r="CJ25" s="521">
        <f t="shared" si="113"/>
        <v>0</v>
      </c>
      <c r="CK25" s="531"/>
      <c r="CL25" s="532"/>
      <c r="CM25" s="625"/>
      <c r="CN25" s="724"/>
      <c r="CO25" s="530">
        <f t="shared" si="22"/>
        <v>0</v>
      </c>
      <c r="CP25" s="528">
        <f t="shared" si="23"/>
        <v>0</v>
      </c>
      <c r="CQ25" s="527">
        <f t="shared" si="114"/>
        <v>0</v>
      </c>
      <c r="CR25" s="530">
        <f t="shared" si="115"/>
        <v>0</v>
      </c>
      <c r="CS25" s="521">
        <f>[1]Субсидия_факт!FL23</f>
        <v>0</v>
      </c>
      <c r="CT25" s="620"/>
      <c r="CU25" s="521">
        <f>[1]Субсидия_факт!FN23</f>
        <v>0</v>
      </c>
      <c r="CV25" s="620"/>
      <c r="CW25" s="528">
        <f t="shared" si="24"/>
        <v>0</v>
      </c>
      <c r="CX25" s="527">
        <f t="shared" si="25"/>
        <v>0</v>
      </c>
      <c r="CY25" s="587">
        <f>[1]Субсидия_факт!FP23</f>
        <v>0</v>
      </c>
      <c r="CZ25" s="1480">
        <f t="shared" si="205"/>
        <v>0</v>
      </c>
      <c r="DA25" s="526">
        <f>[1]Субсидия_факт!FR23</f>
        <v>0</v>
      </c>
      <c r="DB25" s="339"/>
      <c r="DC25" s="524">
        <f>[1]Субсидия_факт!FT23</f>
        <v>0</v>
      </c>
      <c r="DD25" s="339"/>
      <c r="DE25" s="1238">
        <f t="shared" si="26"/>
        <v>0</v>
      </c>
      <c r="DF25" s="528">
        <f t="shared" si="27"/>
        <v>0</v>
      </c>
      <c r="DG25" s="663">
        <f>[1]Субсидия_факт!FV23</f>
        <v>0</v>
      </c>
      <c r="DH25" s="1478">
        <f t="shared" si="116"/>
        <v>0</v>
      </c>
      <c r="DI25" s="498">
        <f t="shared" si="117"/>
        <v>0</v>
      </c>
      <c r="DJ25" s="625">
        <f>[1]Субсидия_факт!EV23</f>
        <v>0</v>
      </c>
      <c r="DK25" s="516">
        <f>[1]Субсидия_факт!EL23</f>
        <v>0</v>
      </c>
      <c r="DL25" s="838">
        <f>[1]Субсидия_факт!EN23</f>
        <v>0</v>
      </c>
      <c r="DM25" s="466">
        <f t="shared" si="118"/>
        <v>0</v>
      </c>
      <c r="DN25" s="625"/>
      <c r="DO25" s="625"/>
      <c r="DP25" s="987"/>
      <c r="DQ25" s="526">
        <f t="shared" si="28"/>
        <v>0</v>
      </c>
      <c r="DR25" s="508">
        <f>[1]Субсидия_факт!N23</f>
        <v>0</v>
      </c>
      <c r="DS25" s="652">
        <f>[1]Субсидия_факт!P23</f>
        <v>0</v>
      </c>
      <c r="DT25" s="682">
        <f>[1]Субсидия_факт!R23</f>
        <v>0</v>
      </c>
      <c r="DU25" s="506">
        <f>[1]Субсидия_факт!T23</f>
        <v>0</v>
      </c>
      <c r="DV25" s="689">
        <f>[1]Субсидия_факт!V23</f>
        <v>0</v>
      </c>
      <c r="DW25" s="506">
        <f>[1]Субсидия_факт!X23</f>
        <v>0</v>
      </c>
      <c r="DX25" s="521">
        <f t="shared" si="29"/>
        <v>0</v>
      </c>
      <c r="DY25" s="532"/>
      <c r="DZ25" s="531"/>
      <c r="EA25" s="686"/>
      <c r="EB25" s="531"/>
      <c r="EC25" s="686"/>
      <c r="ED25" s="531"/>
      <c r="EE25" s="498">
        <f t="shared" si="30"/>
        <v>0</v>
      </c>
      <c r="EF25" s="516">
        <f>[1]Субсидия_факт!BL23</f>
        <v>0</v>
      </c>
      <c r="EG25" s="838">
        <f>[1]Субсидия_факт!BN23</f>
        <v>0</v>
      </c>
      <c r="EH25" s="466">
        <f t="shared" si="31"/>
        <v>0</v>
      </c>
      <c r="EI25" s="772"/>
      <c r="EJ25" s="987"/>
      <c r="EK25" s="526">
        <f t="shared" si="32"/>
        <v>0</v>
      </c>
      <c r="EL25" s="525">
        <f>[1]Субсидия_факт!AF23</f>
        <v>0</v>
      </c>
      <c r="EM25" s="689">
        <f>[1]Субсидия_факт!AH23</f>
        <v>0</v>
      </c>
      <c r="EN25" s="506">
        <f>[1]Субсидия_факт!AJ23</f>
        <v>0</v>
      </c>
      <c r="EO25" s="866">
        <f>[1]Субсидия_факт!AL23</f>
        <v>0</v>
      </c>
      <c r="EP25" s="622">
        <f>[1]Субсидия_факт!AN23</f>
        <v>0</v>
      </c>
      <c r="EQ25" s="712">
        <f>[1]Субсидия_факт!AP23</f>
        <v>0</v>
      </c>
      <c r="ER25" s="521">
        <f t="shared" si="33"/>
        <v>0</v>
      </c>
      <c r="ES25" s="474"/>
      <c r="ET25" s="686"/>
      <c r="EU25" s="474"/>
      <c r="EV25" s="686"/>
      <c r="EW25" s="474"/>
      <c r="EX25" s="686"/>
      <c r="EY25" s="498">
        <f t="shared" si="34"/>
        <v>0</v>
      </c>
      <c r="EZ25" s="516">
        <f>[1]Субсидия_факт!AV23</f>
        <v>0</v>
      </c>
      <c r="FA25" s="752">
        <f>[1]Субсидия_факт!AX23</f>
        <v>0</v>
      </c>
      <c r="FB25" s="466">
        <f t="shared" si="35"/>
        <v>0</v>
      </c>
      <c r="FC25" s="772"/>
      <c r="FD25" s="678"/>
      <c r="FE25" s="498">
        <f t="shared" si="36"/>
        <v>0</v>
      </c>
      <c r="FF25" s="516">
        <f>[1]Субсидия_факт!BT23</f>
        <v>0</v>
      </c>
      <c r="FG25" s="838">
        <f>[1]Субсидия_факт!BV23</f>
        <v>0</v>
      </c>
      <c r="FH25" s="466">
        <f t="shared" si="37"/>
        <v>0</v>
      </c>
      <c r="FI25" s="772"/>
      <c r="FJ25" s="678"/>
      <c r="FK25" s="498">
        <f t="shared" si="38"/>
        <v>0</v>
      </c>
      <c r="FL25" s="516">
        <f>[1]Субсидия_факт!BP23</f>
        <v>0</v>
      </c>
      <c r="FM25" s="838">
        <f>[1]Субсидия_факт!BR23</f>
        <v>0</v>
      </c>
      <c r="FN25" s="466">
        <f t="shared" si="39"/>
        <v>0</v>
      </c>
      <c r="FO25" s="772"/>
      <c r="FP25" s="678"/>
      <c r="FQ25" s="498">
        <f t="shared" si="40"/>
        <v>0</v>
      </c>
      <c r="FR25" s="516">
        <f>[1]Субсидия_факт!IV23</f>
        <v>0</v>
      </c>
      <c r="FS25" s="838">
        <f>[1]Субсидия_факт!IX23</f>
        <v>0</v>
      </c>
      <c r="FT25" s="466">
        <f t="shared" si="41"/>
        <v>0</v>
      </c>
      <c r="FU25" s="772"/>
      <c r="FV25" s="678"/>
      <c r="FW25" s="498">
        <f t="shared" si="42"/>
        <v>0</v>
      </c>
      <c r="FX25" s="516">
        <f>[1]Субсидия_факт!IZ23</f>
        <v>0</v>
      </c>
      <c r="FY25" s="838">
        <f>[1]Субсидия_факт!JD23</f>
        <v>0</v>
      </c>
      <c r="FZ25" s="466">
        <f t="shared" si="43"/>
        <v>0</v>
      </c>
      <c r="GA25" s="772"/>
      <c r="GB25" s="678"/>
      <c r="GC25" s="667">
        <f t="shared" si="119"/>
        <v>0</v>
      </c>
      <c r="GD25" s="669">
        <f t="shared" si="120"/>
        <v>0</v>
      </c>
      <c r="GE25" s="667">
        <f t="shared" si="121"/>
        <v>0</v>
      </c>
      <c r="GF25" s="669">
        <f t="shared" si="122"/>
        <v>0</v>
      </c>
      <c r="GG25" s="498">
        <f t="shared" si="123"/>
        <v>0</v>
      </c>
      <c r="GH25" s="1251">
        <f>[1]Субсидия_факт!BH23</f>
        <v>0</v>
      </c>
      <c r="GI25" s="676">
        <f>[1]Субсидия_факт!BJ23</f>
        <v>0</v>
      </c>
      <c r="GJ25" s="498">
        <f t="shared" si="124"/>
        <v>0</v>
      </c>
      <c r="GK25" s="724"/>
      <c r="GL25" s="678"/>
      <c r="GM25" s="498">
        <f t="shared" si="44"/>
        <v>0</v>
      </c>
      <c r="GN25" s="516"/>
      <c r="GO25" s="838"/>
      <c r="GP25" s="466">
        <f t="shared" si="45"/>
        <v>0</v>
      </c>
      <c r="GQ25" s="724"/>
      <c r="GR25" s="678"/>
      <c r="GS25" s="498">
        <f t="shared" si="46"/>
        <v>0</v>
      </c>
      <c r="GT25" s="516">
        <f>[1]Субсидия_факт!FZ23</f>
        <v>0</v>
      </c>
      <c r="GU25" s="838">
        <f>[1]Субсидия_факт!GD23</f>
        <v>0</v>
      </c>
      <c r="GV25" s="466">
        <f t="shared" si="47"/>
        <v>0</v>
      </c>
      <c r="GW25" s="724"/>
      <c r="GX25" s="678"/>
      <c r="GY25" s="667">
        <f t="shared" si="48"/>
        <v>0</v>
      </c>
      <c r="GZ25" s="516">
        <f t="shared" si="125"/>
        <v>0</v>
      </c>
      <c r="HA25" s="838">
        <f t="shared" si="125"/>
        <v>0</v>
      </c>
      <c r="HB25" s="669">
        <f t="shared" si="49"/>
        <v>0</v>
      </c>
      <c r="HC25" s="516">
        <f t="shared" si="125"/>
        <v>0</v>
      </c>
      <c r="HD25" s="838">
        <f t="shared" si="125"/>
        <v>0</v>
      </c>
      <c r="HE25" s="667">
        <f t="shared" si="50"/>
        <v>0</v>
      </c>
      <c r="HF25" s="516">
        <f>[1]Субсидия_факт!GB23</f>
        <v>0</v>
      </c>
      <c r="HG25" s="838">
        <f>[1]Субсидия_факт!GF23</f>
        <v>0</v>
      </c>
      <c r="HH25" s="669">
        <f t="shared" si="51"/>
        <v>0</v>
      </c>
      <c r="HI25" s="724"/>
      <c r="HJ25" s="678"/>
      <c r="HK25" s="526">
        <f t="shared" si="126"/>
        <v>0</v>
      </c>
      <c r="HL25" s="518">
        <f>[1]Субсидия_факт!DD23</f>
        <v>0</v>
      </c>
      <c r="HM25" s="752">
        <f>[1]Субсидия_факт!DF23</f>
        <v>0</v>
      </c>
      <c r="HN25" s="521">
        <f t="shared" si="127"/>
        <v>0</v>
      </c>
      <c r="HO25" s="531"/>
      <c r="HP25" s="706"/>
      <c r="HQ25" s="579">
        <f t="shared" si="54"/>
        <v>355606.37</v>
      </c>
      <c r="HR25" s="516">
        <f>[1]Субсидия_факт!CR23</f>
        <v>99569.790000000008</v>
      </c>
      <c r="HS25" s="838">
        <f>[1]Субсидия_факт!CX23</f>
        <v>256036.58</v>
      </c>
      <c r="HT25" s="466">
        <f t="shared" si="55"/>
        <v>355606.37</v>
      </c>
      <c r="HU25" s="1251">
        <f t="shared" ref="HU25:HV28" si="212">HR25</f>
        <v>99569.790000000008</v>
      </c>
      <c r="HV25" s="1519">
        <f t="shared" si="212"/>
        <v>256036.58</v>
      </c>
      <c r="HW25" s="466">
        <f t="shared" si="56"/>
        <v>894227.77999999991</v>
      </c>
      <c r="HX25" s="516">
        <f>[1]Субсидия_факт!CT23</f>
        <v>250383.78999999992</v>
      </c>
      <c r="HY25" s="752">
        <f>[1]Субсидия_факт!CZ23</f>
        <v>643843.99</v>
      </c>
      <c r="HZ25" s="466">
        <f t="shared" si="57"/>
        <v>429635.18000000005</v>
      </c>
      <c r="IA25" s="757">
        <f t="shared" si="128"/>
        <v>120297.85999999999</v>
      </c>
      <c r="IB25" s="789">
        <f t="shared" si="129"/>
        <v>309337.32000000007</v>
      </c>
      <c r="IC25" s="625">
        <v>219867.65</v>
      </c>
      <c r="ID25" s="709">
        <v>565373.9</v>
      </c>
      <c r="IE25" s="669">
        <f t="shared" si="58"/>
        <v>894227.77999999991</v>
      </c>
      <c r="IF25" s="750">
        <f>'Проверочная  таблица'!HX25-'Проверочная  таблица'!IL25</f>
        <v>250383.78999999992</v>
      </c>
      <c r="IG25" s="676">
        <f>'Проверочная  таблица'!HY25-'Проверочная  таблица'!IM25</f>
        <v>643843.99</v>
      </c>
      <c r="IH25" s="663">
        <f t="shared" si="59"/>
        <v>429635.18000000005</v>
      </c>
      <c r="II25" s="757">
        <f>'Проверочная  таблица'!IA25-'Проверочная  таблица'!IO25</f>
        <v>120297.85999999999</v>
      </c>
      <c r="IJ25" s="768">
        <f>'Проверочная  таблица'!IB25-'Проверочная  таблица'!IP25</f>
        <v>309337.32000000007</v>
      </c>
      <c r="IK25" s="669">
        <f t="shared" si="60"/>
        <v>0</v>
      </c>
      <c r="IL25" s="516">
        <f>[1]Субсидия_факт!CV23</f>
        <v>0</v>
      </c>
      <c r="IM25" s="838">
        <f>[1]Субсидия_факт!DB23</f>
        <v>0</v>
      </c>
      <c r="IN25" s="669">
        <f t="shared" si="61"/>
        <v>0</v>
      </c>
      <c r="IO25" s="724"/>
      <c r="IP25" s="678"/>
      <c r="IQ25" s="466">
        <f t="shared" si="130"/>
        <v>0</v>
      </c>
      <c r="IR25" s="757">
        <f>[1]Субсидия_факт!CJ23</f>
        <v>0</v>
      </c>
      <c r="IS25" s="676">
        <f>[1]Субсидия_факт!CN23</f>
        <v>0</v>
      </c>
      <c r="IT25" s="757">
        <f>[1]Субсидия_факт!DH23</f>
        <v>0</v>
      </c>
      <c r="IU25" s="676">
        <f>[1]Субсидия_факт!DN23</f>
        <v>0</v>
      </c>
      <c r="IV25" s="525">
        <f>[1]Субсидия_факт!DX23</f>
        <v>0</v>
      </c>
      <c r="IW25" s="689">
        <f>[1]Субсидия_факт!DZ23</f>
        <v>0</v>
      </c>
      <c r="IX25" s="1295">
        <f>[1]Субсидия_факт!DT23</f>
        <v>0</v>
      </c>
      <c r="IY25" s="676">
        <f>[1]Субсидия_факт!DV23</f>
        <v>0</v>
      </c>
      <c r="IZ25" s="516">
        <f>[1]Субсидия_факт!EB23</f>
        <v>0</v>
      </c>
      <c r="JA25" s="466">
        <f t="shared" si="131"/>
        <v>0</v>
      </c>
      <c r="JB25" s="625"/>
      <c r="JC25" s="678"/>
      <c r="JD25" s="625"/>
      <c r="JE25" s="678"/>
      <c r="JF25" s="531"/>
      <c r="JG25" s="706"/>
      <c r="JH25" s="625"/>
      <c r="JI25" s="678"/>
      <c r="JJ25" s="757">
        <f t="shared" si="132"/>
        <v>0</v>
      </c>
      <c r="JK25" s="748">
        <f t="shared" si="133"/>
        <v>0</v>
      </c>
      <c r="JL25" s="757">
        <f>[1]Субсидия_факт!CL23</f>
        <v>0</v>
      </c>
      <c r="JM25" s="676">
        <f>[1]Субсидия_факт!CP23</f>
        <v>0</v>
      </c>
      <c r="JN25" s="757">
        <f>[1]Субсидия_факт!DJ23</f>
        <v>0</v>
      </c>
      <c r="JO25" s="676">
        <f>[1]Субсидия_факт!DP23</f>
        <v>0</v>
      </c>
      <c r="JP25" s="748">
        <f t="shared" si="134"/>
        <v>0</v>
      </c>
      <c r="JQ25" s="625"/>
      <c r="JR25" s="678"/>
      <c r="JS25" s="625"/>
      <c r="JT25" s="678"/>
      <c r="JU25" s="587">
        <f t="shared" si="135"/>
        <v>0</v>
      </c>
      <c r="JV25" s="757">
        <f>'Проверочная  таблица'!JL25-KF25</f>
        <v>0</v>
      </c>
      <c r="JW25" s="676">
        <f>'Проверочная  таблица'!JM25-KG25</f>
        <v>0</v>
      </c>
      <c r="JX25" s="757">
        <f>'Проверочная  таблица'!JN25-KH25</f>
        <v>0</v>
      </c>
      <c r="JY25" s="676">
        <f>'Проверочная  таблица'!JO25-KI25</f>
        <v>0</v>
      </c>
      <c r="JZ25" s="587">
        <f t="shared" si="136"/>
        <v>0</v>
      </c>
      <c r="KA25" s="757">
        <f>'Проверочная  таблица'!JQ25-KK25</f>
        <v>0</v>
      </c>
      <c r="KB25" s="676">
        <f>'Проверочная  таблица'!JR25-KL25</f>
        <v>0</v>
      </c>
      <c r="KC25" s="757">
        <f>'Проверочная  таблица'!JS25-KM25</f>
        <v>0</v>
      </c>
      <c r="KD25" s="789">
        <f>'Проверочная  таблица'!JT25-KN25</f>
        <v>0</v>
      </c>
      <c r="KE25" s="587">
        <f t="shared" si="137"/>
        <v>0</v>
      </c>
      <c r="KF25" s="625"/>
      <c r="KG25" s="678"/>
      <c r="KH25" s="757">
        <f>[1]Субсидия_факт!DL23</f>
        <v>0</v>
      </c>
      <c r="KI25" s="1519">
        <f>[1]Субсидия_факт!DR23</f>
        <v>0</v>
      </c>
      <c r="KJ25" s="587">
        <f t="shared" si="138"/>
        <v>0</v>
      </c>
      <c r="KK25" s="753"/>
      <c r="KL25" s="678"/>
      <c r="KM25" s="625"/>
      <c r="KN25" s="678"/>
      <c r="KO25" s="579">
        <f t="shared" si="139"/>
        <v>0</v>
      </c>
      <c r="KP25" s="516">
        <f>[1]Субсидия_факт!BX23</f>
        <v>0</v>
      </c>
      <c r="KQ25" s="838">
        <f>[1]Субсидия_факт!BZ23</f>
        <v>0</v>
      </c>
      <c r="KR25" s="516">
        <f>[1]Субсидия_факт!CB23</f>
        <v>0</v>
      </c>
      <c r="KS25" s="466">
        <f t="shared" si="140"/>
        <v>0</v>
      </c>
      <c r="KT25" s="625"/>
      <c r="KU25" s="678"/>
      <c r="KV25" s="625"/>
      <c r="KW25" s="498">
        <f t="shared" si="62"/>
        <v>0</v>
      </c>
      <c r="KX25" s="508">
        <f>[1]Субсидия_факт!GN23</f>
        <v>0</v>
      </c>
      <c r="KY25" s="466">
        <f t="shared" si="63"/>
        <v>0</v>
      </c>
      <c r="KZ25" s="625"/>
      <c r="LA25" s="754">
        <f t="shared" si="206"/>
        <v>0</v>
      </c>
      <c r="LB25" s="516">
        <f>[1]Субсидия_факт!JT23</f>
        <v>0</v>
      </c>
      <c r="LC25" s="838">
        <f>[1]Субсидия_факт!JZ23</f>
        <v>0</v>
      </c>
      <c r="LD25" s="508"/>
      <c r="LE25" s="754">
        <f t="shared" si="207"/>
        <v>0</v>
      </c>
      <c r="LF25" s="772"/>
      <c r="LG25" s="678"/>
      <c r="LH25" s="625"/>
      <c r="LI25" s="754">
        <f t="shared" si="141"/>
        <v>6000000</v>
      </c>
      <c r="LJ25" s="516">
        <f>[1]Субсидия_факт!JV23</f>
        <v>0</v>
      </c>
      <c r="LK25" s="838">
        <f>[1]Субсидия_факт!KB23</f>
        <v>0</v>
      </c>
      <c r="LL25" s="518">
        <f>[1]Субсидия_факт!KF23</f>
        <v>6000000</v>
      </c>
      <c r="LM25" s="754">
        <f t="shared" si="142"/>
        <v>0</v>
      </c>
      <c r="LN25" s="625"/>
      <c r="LO25" s="771"/>
      <c r="LP25" s="625"/>
      <c r="LQ25" s="756">
        <f t="shared" si="143"/>
        <v>6000000</v>
      </c>
      <c r="LR25" s="652">
        <f>'Проверочная  таблица'!LJ25-LZ25</f>
        <v>0</v>
      </c>
      <c r="LS25" s="682">
        <f>'Проверочная  таблица'!LK25-MA25</f>
        <v>0</v>
      </c>
      <c r="LT25" s="622">
        <f>'Проверочная  таблица'!LL25-MB25</f>
        <v>6000000</v>
      </c>
      <c r="LU25" s="756">
        <f t="shared" si="144"/>
        <v>0</v>
      </c>
      <c r="LV25" s="750">
        <f>'Проверочная  таблица'!LN25-MD25</f>
        <v>0</v>
      </c>
      <c r="LW25" s="676">
        <f>'Проверочная  таблица'!LO25-ME25</f>
        <v>0</v>
      </c>
      <c r="LX25" s="757">
        <f>'Проверочная  таблица'!LP25-MF25</f>
        <v>0</v>
      </c>
      <c r="LY25" s="756">
        <f t="shared" si="145"/>
        <v>0</v>
      </c>
      <c r="LZ25" s="516">
        <f>[1]Субсидия_факт!JX23</f>
        <v>0</v>
      </c>
      <c r="MA25" s="838">
        <f>[1]Субсидия_факт!KD23</f>
        <v>0</v>
      </c>
      <c r="MB25" s="516">
        <f>[1]Субсидия_факт!KH23</f>
        <v>0</v>
      </c>
      <c r="MC25" s="756">
        <f t="shared" si="146"/>
        <v>0</v>
      </c>
      <c r="MD25" s="750">
        <f t="shared" si="203"/>
        <v>0</v>
      </c>
      <c r="ME25" s="676">
        <f t="shared" si="204"/>
        <v>0</v>
      </c>
      <c r="MF25" s="516"/>
      <c r="MG25" s="521">
        <f t="shared" si="147"/>
        <v>1518726.32</v>
      </c>
      <c r="MH25" s="652">
        <f>[1]Субсидия_факт!KR23</f>
        <v>75936.320000000007</v>
      </c>
      <c r="MI25" s="682">
        <f>[1]Субсидия_факт!KV23</f>
        <v>1442790</v>
      </c>
      <c r="MJ25" s="750">
        <f>[1]Субсидия_факт!KZ23</f>
        <v>0</v>
      </c>
      <c r="MK25" s="1519">
        <f>[1]Субсидия_факт!LD23</f>
        <v>0</v>
      </c>
      <c r="ML25" s="521">
        <f t="shared" si="148"/>
        <v>0</v>
      </c>
      <c r="MM25" s="1609">
        <v>0</v>
      </c>
      <c r="MN25" s="706">
        <v>0</v>
      </c>
      <c r="MO25" s="342"/>
      <c r="MP25" s="770"/>
      <c r="MQ25" s="587">
        <f t="shared" si="149"/>
        <v>1518726.32</v>
      </c>
      <c r="MR25" s="1613">
        <f t="shared" si="64"/>
        <v>75936.320000000007</v>
      </c>
      <c r="MS25" s="682">
        <f t="shared" si="65"/>
        <v>1442790</v>
      </c>
      <c r="MT25" s="487">
        <f t="shared" si="66"/>
        <v>0</v>
      </c>
      <c r="MU25" s="682">
        <f t="shared" si="67"/>
        <v>0</v>
      </c>
      <c r="MV25" s="587">
        <f t="shared" si="150"/>
        <v>0</v>
      </c>
      <c r="MW25" s="487">
        <f t="shared" si="68"/>
        <v>0</v>
      </c>
      <c r="MX25" s="682">
        <f t="shared" si="69"/>
        <v>0</v>
      </c>
      <c r="MY25" s="487">
        <f t="shared" si="70"/>
        <v>0</v>
      </c>
      <c r="MZ25" s="682">
        <f t="shared" si="71"/>
        <v>0</v>
      </c>
      <c r="NA25" s="587">
        <f t="shared" si="151"/>
        <v>0</v>
      </c>
      <c r="NB25" s="1079">
        <f>[1]Субсидия_факт!KT23</f>
        <v>0</v>
      </c>
      <c r="NC25" s="682">
        <f>[1]Субсидия_факт!KX23</f>
        <v>0</v>
      </c>
      <c r="ND25" s="625">
        <f>[1]Субсидия_факт!LB23</f>
        <v>0</v>
      </c>
      <c r="NE25" s="709">
        <f>[1]Субсидия_факт!LF23</f>
        <v>0</v>
      </c>
      <c r="NF25" s="587">
        <f t="shared" si="152"/>
        <v>0</v>
      </c>
      <c r="NG25" s="487"/>
      <c r="NH25" s="712"/>
      <c r="NI25" s="342"/>
      <c r="NJ25" s="706"/>
      <c r="NK25" s="498">
        <f t="shared" si="72"/>
        <v>0</v>
      </c>
      <c r="NL25" s="516">
        <f>[1]Субсидия_факт!AB23</f>
        <v>0</v>
      </c>
      <c r="NM25" s="838">
        <f>[1]Субсидия_факт!AD23</f>
        <v>0</v>
      </c>
      <c r="NN25" s="466">
        <f t="shared" si="73"/>
        <v>0</v>
      </c>
      <c r="NO25" s="772"/>
      <c r="NP25" s="987"/>
      <c r="NQ25" s="521">
        <f t="shared" si="153"/>
        <v>0</v>
      </c>
      <c r="NR25" s="506">
        <f>[1]Субсидия_факт!LH23</f>
        <v>0</v>
      </c>
      <c r="NS25" s="866">
        <f>[1]Субсидия_факт!LJ23</f>
        <v>0</v>
      </c>
      <c r="NT25" s="525">
        <f>[1]Субсидия_факт!MN23</f>
        <v>0</v>
      </c>
      <c r="NU25" s="689">
        <f>[1]Субсидия_факт!MP23</f>
        <v>0</v>
      </c>
      <c r="NV25" s="1147">
        <f>[1]Субсидия_факт!MB23</f>
        <v>0</v>
      </c>
      <c r="NW25" s="682">
        <f>[1]Субсидия_факт!MH23</f>
        <v>0</v>
      </c>
      <c r="NX25" s="521">
        <f t="shared" si="154"/>
        <v>0</v>
      </c>
      <c r="NY25" s="474"/>
      <c r="NZ25" s="686"/>
      <c r="OA25" s="474"/>
      <c r="OB25" s="686"/>
      <c r="OC25" s="342"/>
      <c r="OD25" s="1279"/>
      <c r="OE25" s="521">
        <f t="shared" si="155"/>
        <v>0</v>
      </c>
      <c r="OF25" s="652">
        <f>[1]Субсидия_факт!KJ23</f>
        <v>0</v>
      </c>
      <c r="OG25" s="682">
        <f>[1]Субсидия_факт!KN23</f>
        <v>0</v>
      </c>
      <c r="OH25" s="652">
        <f>[1]Субсидия_факт!LL23</f>
        <v>0</v>
      </c>
      <c r="OI25" s="682">
        <f>[1]Субсидия_факт!LP23</f>
        <v>0</v>
      </c>
      <c r="OJ25" s="652">
        <f>[1]Субсидия_факт!MD23</f>
        <v>0</v>
      </c>
      <c r="OK25" s="682">
        <f>[1]Субсидия_факт!MJ23</f>
        <v>0</v>
      </c>
      <c r="OL25" s="521">
        <f t="shared" si="156"/>
        <v>0</v>
      </c>
      <c r="OM25" s="487"/>
      <c r="ON25" s="712"/>
      <c r="OO25" s="474"/>
      <c r="OP25" s="686"/>
      <c r="OQ25" s="487"/>
      <c r="OR25" s="712"/>
      <c r="OS25" s="587">
        <f t="shared" si="157"/>
        <v>0</v>
      </c>
      <c r="OT25" s="1066">
        <f t="shared" si="74"/>
        <v>0</v>
      </c>
      <c r="OU25" s="682">
        <f t="shared" si="75"/>
        <v>0</v>
      </c>
      <c r="OV25" s="1066">
        <f t="shared" si="76"/>
        <v>0</v>
      </c>
      <c r="OW25" s="682">
        <f t="shared" si="77"/>
        <v>0</v>
      </c>
      <c r="OX25" s="1147">
        <f t="shared" si="78"/>
        <v>0</v>
      </c>
      <c r="OY25" s="682">
        <f t="shared" si="79"/>
        <v>0</v>
      </c>
      <c r="OZ25" s="587">
        <f t="shared" si="158"/>
        <v>0</v>
      </c>
      <c r="PA25" s="1066">
        <f t="shared" si="80"/>
        <v>0</v>
      </c>
      <c r="PB25" s="682">
        <f t="shared" si="81"/>
        <v>0</v>
      </c>
      <c r="PC25" s="1066">
        <f t="shared" si="82"/>
        <v>0</v>
      </c>
      <c r="PD25" s="682">
        <f t="shared" si="83"/>
        <v>0</v>
      </c>
      <c r="PE25" s="1147">
        <f t="shared" si="84"/>
        <v>0</v>
      </c>
      <c r="PF25" s="682">
        <f t="shared" si="85"/>
        <v>0</v>
      </c>
      <c r="PG25" s="587">
        <f t="shared" si="159"/>
        <v>0</v>
      </c>
      <c r="PH25" s="1079">
        <f>[1]Субсидия_факт!KL23</f>
        <v>0</v>
      </c>
      <c r="PI25" s="682">
        <f>[1]Субсидия_факт!KP23</f>
        <v>0</v>
      </c>
      <c r="PJ25" s="652">
        <f>[1]Субсидия_факт!LN23</f>
        <v>0</v>
      </c>
      <c r="PK25" s="682">
        <f>[1]Субсидия_факт!LR23</f>
        <v>0</v>
      </c>
      <c r="PL25" s="652">
        <f>[1]Субсидия_факт!MF23</f>
        <v>0</v>
      </c>
      <c r="PM25" s="682">
        <f>[1]Субсидия_факт!ML23</f>
        <v>0</v>
      </c>
      <c r="PN25" s="587">
        <f t="shared" si="160"/>
        <v>0</v>
      </c>
      <c r="PO25" s="487"/>
      <c r="PP25" s="712"/>
      <c r="PQ25" s="474"/>
      <c r="PR25" s="686"/>
      <c r="PS25" s="487"/>
      <c r="PT25" s="712"/>
      <c r="PU25" s="466">
        <f t="shared" si="161"/>
        <v>0</v>
      </c>
      <c r="PV25" s="516">
        <f>[1]Субсидия_факт!MR23</f>
        <v>0</v>
      </c>
      <c r="PW25" s="838">
        <f>[1]Субсидия_факт!MX23</f>
        <v>0</v>
      </c>
      <c r="PX25" s="466">
        <f t="shared" si="162"/>
        <v>0</v>
      </c>
      <c r="PY25" s="724"/>
      <c r="PZ25" s="678"/>
      <c r="QA25" s="579">
        <f t="shared" si="163"/>
        <v>0</v>
      </c>
      <c r="QB25" s="516">
        <f>[1]Субсидия_факт!MT23</f>
        <v>0</v>
      </c>
      <c r="QC25" s="838">
        <f>[1]Субсидия_факт!MZ23</f>
        <v>0</v>
      </c>
      <c r="QD25" s="466">
        <f t="shared" si="164"/>
        <v>0</v>
      </c>
      <c r="QE25" s="724"/>
      <c r="QF25" s="987"/>
      <c r="QG25" s="669">
        <f t="shared" si="165"/>
        <v>0</v>
      </c>
      <c r="QH25" s="516">
        <f t="shared" si="166"/>
        <v>0</v>
      </c>
      <c r="QI25" s="838">
        <f t="shared" si="167"/>
        <v>0</v>
      </c>
      <c r="QJ25" s="669">
        <f t="shared" si="168"/>
        <v>0</v>
      </c>
      <c r="QK25" s="516">
        <f t="shared" si="169"/>
        <v>0</v>
      </c>
      <c r="QL25" s="838">
        <f t="shared" si="170"/>
        <v>0</v>
      </c>
      <c r="QM25" s="669">
        <f t="shared" si="171"/>
        <v>0</v>
      </c>
      <c r="QN25" s="516">
        <f>[1]Субсидия_факт!MV23</f>
        <v>0</v>
      </c>
      <c r="QO25" s="838">
        <f>[1]Субсидия_факт!NB23</f>
        <v>0</v>
      </c>
      <c r="QP25" s="669">
        <f t="shared" si="172"/>
        <v>0</v>
      </c>
      <c r="QQ25" s="516">
        <f>[1]Субсидия_факт!NI23</f>
        <v>0</v>
      </c>
      <c r="QR25" s="752">
        <f>[1]Субсидия_факт!NO23</f>
        <v>0</v>
      </c>
      <c r="QS25" s="521">
        <f>'Прочая  субсидия_МР  и  ГО'!B21</f>
        <v>7286223.1100000003</v>
      </c>
      <c r="QT25" s="521">
        <f>'Прочая  субсидия_МР  и  ГО'!C21</f>
        <v>5780777</v>
      </c>
      <c r="QU25" s="524">
        <f>'Прочая  субсидия_БП'!B21</f>
        <v>20196434.41</v>
      </c>
      <c r="QV25" s="526">
        <f>'Прочая  субсидия_БП'!C21</f>
        <v>374829.86</v>
      </c>
      <c r="QW25" s="583">
        <f>'Прочая  субсидия_БП'!D21</f>
        <v>20196434.41</v>
      </c>
      <c r="QX25" s="582">
        <f>'Прочая  субсидия_БП'!E21</f>
        <v>374829.86</v>
      </c>
      <c r="QY25" s="588">
        <f>'Прочая  субсидия_БП'!F21</f>
        <v>0</v>
      </c>
      <c r="QZ25" s="583">
        <f>'Прочая  субсидия_БП'!G21</f>
        <v>0</v>
      </c>
      <c r="RA25" s="526">
        <f t="shared" si="173"/>
        <v>223064256.05999997</v>
      </c>
      <c r="RB25" s="525">
        <f>'Проверочная  таблица'!SF25+'Проверочная  таблица'!RG25+'Проверочная  таблица'!RI25+'Проверочная  таблица'!RK25+RX25</f>
        <v>215612885.64999998</v>
      </c>
      <c r="RC25" s="508">
        <f>'Проверочная  таблица'!SG25+'Проверочная  таблица'!RM25+'Проверочная  таблица'!RS25+'Проверочная  таблица'!RO25+'Проверочная  таблица'!RQ25+RU25+RY25+SC25</f>
        <v>7451370.4100000001</v>
      </c>
      <c r="RD25" s="521">
        <f t="shared" si="174"/>
        <v>179681014.05000001</v>
      </c>
      <c r="RE25" s="506">
        <f>'Проверочная  таблица'!SI25+'Проверочная  таблица'!RH25+'Проверочная  таблица'!RJ25+'Проверочная  таблица'!RL25+SA25</f>
        <v>175327681.28</v>
      </c>
      <c r="RF25" s="508">
        <f>'Проверочная  таблица'!SJ25+'Проверочная  таблица'!RN25+'Проверочная  таблица'!RT25+'Проверочная  таблица'!RP25+'Проверочная  таблица'!RR25+RV25+SB25+SD25</f>
        <v>4353332.7699999996</v>
      </c>
      <c r="RG25" s="579">
        <f>'Субвенция  на  полномочия'!B21</f>
        <v>206040997.47999999</v>
      </c>
      <c r="RH25" s="466">
        <f>'Субвенция  на  полномочия'!C21</f>
        <v>168722517.5</v>
      </c>
      <c r="RI25" s="733">
        <f>[1]Субвенция_факт!Q22*1000</f>
        <v>5540168.0000000009</v>
      </c>
      <c r="RJ25" s="736">
        <v>3994400</v>
      </c>
      <c r="RK25" s="733">
        <f>[1]Субвенция_факт!J22*1000</f>
        <v>1394172</v>
      </c>
      <c r="RL25" s="736">
        <v>929772</v>
      </c>
      <c r="RM25" s="733">
        <f>[1]Субвенция_факт!AE22*1000</f>
        <v>1502700</v>
      </c>
      <c r="RN25" s="736">
        <v>1050929.6300000001</v>
      </c>
      <c r="RO25" s="733">
        <f>[1]Субвенция_факт!AF22*1000</f>
        <v>0</v>
      </c>
      <c r="RP25" s="736">
        <v>0</v>
      </c>
      <c r="RQ25" s="733">
        <f>[1]Субвенция_факт!E22*1000</f>
        <v>0</v>
      </c>
      <c r="RR25" s="736"/>
      <c r="RS25" s="733">
        <f>[1]Субвенция_факт!F22*1000</f>
        <v>0</v>
      </c>
      <c r="RT25" s="827"/>
      <c r="RU25" s="170">
        <f>[1]Субвенция_факт!G22*1000</f>
        <v>0</v>
      </c>
      <c r="RV25" s="1109"/>
      <c r="RW25" s="521">
        <f t="shared" si="88"/>
        <v>5879297.0499999998</v>
      </c>
      <c r="RX25" s="622">
        <f>[1]Субвенция_факт!N22*1000</f>
        <v>1646203.17</v>
      </c>
      <c r="RY25" s="682">
        <f>[1]Субвенция_факт!O22*1000</f>
        <v>4233093.88</v>
      </c>
      <c r="RZ25" s="521">
        <f t="shared" si="89"/>
        <v>3032113.5</v>
      </c>
      <c r="SA25" s="773">
        <v>848991.78</v>
      </c>
      <c r="SB25" s="1279">
        <v>2183121.7200000002</v>
      </c>
      <c r="SC25" s="170">
        <f>[1]Субвенция_факт!AG22*1000</f>
        <v>263576.52999999997</v>
      </c>
      <c r="SD25" s="1277"/>
      <c r="SE25" s="498">
        <f t="shared" si="175"/>
        <v>2443345</v>
      </c>
      <c r="SF25" s="833">
        <f>[1]Субвенция_факт!AD22*1000</f>
        <v>991344.99999999977</v>
      </c>
      <c r="SG25" s="1562">
        <f>[1]Субвенция_факт!AC22*1000</f>
        <v>1452000</v>
      </c>
      <c r="SH25" s="521">
        <f t="shared" si="176"/>
        <v>1951281.42</v>
      </c>
      <c r="SI25" s="1557">
        <v>832000</v>
      </c>
      <c r="SJ25" s="1635">
        <v>1119281.42</v>
      </c>
      <c r="SK25" s="280">
        <f>'Проверочная  таблица'!VC25+'Проверочная  таблица'!UO25+'Проверочная  таблица'!SY25+'Проверочная  таблица'!TC25+UA25+UG25+TK25+TQ25+SM25+SS25</f>
        <v>60475918.140000001</v>
      </c>
      <c r="SL25" s="170">
        <f>'Проверочная  таблица'!VF25+'Проверочная  таблица'!UV25+'Проверочная  таблица'!TA25+'Проверочная  таблица'!TE25+UD25+UK25+TN25+TT25+SP25+SV25</f>
        <v>23369656.469999999</v>
      </c>
      <c r="SM25" s="524">
        <f t="shared" si="92"/>
        <v>10624320</v>
      </c>
      <c r="SN25" s="833">
        <f>'[1]Иные межбюджетные трансферты'!I23</f>
        <v>0</v>
      </c>
      <c r="SO25" s="880">
        <f>'[1]Иные межбюджетные трансферты'!K23</f>
        <v>10624320</v>
      </c>
      <c r="SP25" s="521">
        <f t="shared" si="93"/>
        <v>7856978.3300000001</v>
      </c>
      <c r="SQ25" s="1421"/>
      <c r="SR25" s="1422">
        <v>7856978.3300000001</v>
      </c>
      <c r="SS25" s="521">
        <f t="shared" si="177"/>
        <v>0</v>
      </c>
      <c r="ST25" s="1082">
        <f>'[1]Иные межбюджетные трансферты'!Y23</f>
        <v>0</v>
      </c>
      <c r="SU25" s="1630">
        <f>'[1]Иные межбюджетные трансферты'!AE23</f>
        <v>0</v>
      </c>
      <c r="SV25" s="521">
        <f t="shared" si="178"/>
        <v>0</v>
      </c>
      <c r="SW25" s="906"/>
      <c r="SX25" s="1422"/>
      <c r="SY25" s="1254">
        <f t="shared" si="94"/>
        <v>0</v>
      </c>
      <c r="SZ25" s="1009">
        <f>'[1]Иные межбюджетные трансферты'!AG23</f>
        <v>0</v>
      </c>
      <c r="TA25" s="899">
        <f t="shared" si="95"/>
        <v>0</v>
      </c>
      <c r="TB25" s="1422"/>
      <c r="TC25" s="903">
        <f t="shared" si="96"/>
        <v>0</v>
      </c>
      <c r="TD25" s="1009">
        <f>'[1]Иные межбюджетные трансферты'!AI23</f>
        <v>0</v>
      </c>
      <c r="TE25" s="899">
        <f t="shared" si="97"/>
        <v>0</v>
      </c>
      <c r="TF25" s="1082"/>
      <c r="TG25" s="901">
        <f t="shared" si="98"/>
        <v>0</v>
      </c>
      <c r="TH25" s="897">
        <f t="shared" si="99"/>
        <v>0</v>
      </c>
      <c r="TI25" s="1086">
        <f t="shared" si="179"/>
        <v>0</v>
      </c>
      <c r="TJ25" s="897">
        <f t="shared" si="180"/>
        <v>0</v>
      </c>
      <c r="TK25" s="903">
        <f t="shared" si="181"/>
        <v>0</v>
      </c>
      <c r="TL25" s="1079"/>
      <c r="TM25" s="682"/>
      <c r="TN25" s="903">
        <f t="shared" si="182"/>
        <v>0</v>
      </c>
      <c r="TO25" s="773"/>
      <c r="TP25" s="686"/>
      <c r="TQ25" s="903">
        <f t="shared" si="183"/>
        <v>0</v>
      </c>
      <c r="TR25" s="1079">
        <f>'[1]Иные межбюджетные трансферты'!AQ23</f>
        <v>0</v>
      </c>
      <c r="TS25" s="682">
        <f>'[1]Иные межбюджетные трансферты'!AU23</f>
        <v>0</v>
      </c>
      <c r="TT25" s="899">
        <f t="shared" si="184"/>
        <v>0</v>
      </c>
      <c r="TU25" s="753"/>
      <c r="TV25" s="771"/>
      <c r="TW25" s="820">
        <f t="shared" si="185"/>
        <v>0</v>
      </c>
      <c r="TX25" s="820">
        <f t="shared" si="186"/>
        <v>0</v>
      </c>
      <c r="TY25" s="820">
        <f t="shared" si="187"/>
        <v>0</v>
      </c>
      <c r="TZ25" s="1199">
        <f t="shared" si="188"/>
        <v>0</v>
      </c>
      <c r="UA25" s="1134">
        <f t="shared" si="100"/>
        <v>0</v>
      </c>
      <c r="UB25" s="945">
        <f>'[1]Иные межбюджетные трансферты'!U23</f>
        <v>0</v>
      </c>
      <c r="UC25" s="1133">
        <f>'[1]Иные межбюджетные трансферты'!W23</f>
        <v>0</v>
      </c>
      <c r="UD25" s="734">
        <f t="shared" si="101"/>
        <v>0</v>
      </c>
      <c r="UE25" s="945"/>
      <c r="UF25" s="1133"/>
      <c r="UG25" s="734">
        <f t="shared" si="189"/>
        <v>0</v>
      </c>
      <c r="UH25" s="945">
        <f>'[1]Иные межбюджетные трансферты'!O23</f>
        <v>0</v>
      </c>
      <c r="UI25" s="1133">
        <f>'[1]Иные межбюджетные трансферты'!Q23</f>
        <v>0</v>
      </c>
      <c r="UJ25" s="1133">
        <f>'[1]Иные межбюджетные трансферты'!S23</f>
        <v>0</v>
      </c>
      <c r="UK25" s="734">
        <f t="shared" si="190"/>
        <v>0</v>
      </c>
      <c r="UL25" s="1513"/>
      <c r="UM25" s="1426"/>
      <c r="UN25" s="1624"/>
      <c r="UO25" s="1585">
        <f t="shared" si="191"/>
        <v>46169516.770000003</v>
      </c>
      <c r="UP25" s="833">
        <f>'[1]Иные межбюджетные трансферты'!E23</f>
        <v>0</v>
      </c>
      <c r="UQ25" s="880">
        <f>'[1]Иные межбюджетные трансферты'!G23</f>
        <v>0</v>
      </c>
      <c r="UR25" s="830">
        <f>'[1]Иные межбюджетные трансферты'!M23</f>
        <v>45616210</v>
      </c>
      <c r="US25" s="1044"/>
      <c r="UT25" s="1498">
        <f>'[1]Иные межбюджетные трансферты'!AY23</f>
        <v>0</v>
      </c>
      <c r="UU25" s="1539">
        <f>'[1]Иные межбюджетные трансферты'!BA23</f>
        <v>553306.77</v>
      </c>
      <c r="UV25" s="834">
        <f t="shared" si="192"/>
        <v>11830596.77</v>
      </c>
      <c r="UW25" s="908"/>
      <c r="UX25" s="906"/>
      <c r="UY25" s="1425">
        <v>11277290</v>
      </c>
      <c r="UZ25" s="516"/>
      <c r="VA25" s="518">
        <f t="shared" si="102"/>
        <v>0</v>
      </c>
      <c r="VB25" s="516">
        <f t="shared" si="193"/>
        <v>553306.77</v>
      </c>
      <c r="VC25" s="899">
        <f t="shared" si="194"/>
        <v>3682081.37</v>
      </c>
      <c r="VD25" s="830">
        <f>'[1]Иные межбюджетные трансферты'!AM23</f>
        <v>0</v>
      </c>
      <c r="VE25" s="1587">
        <f>'[1]Иные межбюджетные трансферты'!BC23</f>
        <v>3682081.37</v>
      </c>
      <c r="VF25" s="1495">
        <f t="shared" si="195"/>
        <v>3682081.37</v>
      </c>
      <c r="VG25" s="753"/>
      <c r="VH25" s="1251">
        <f t="shared" si="196"/>
        <v>3682081.37</v>
      </c>
      <c r="VI25" s="1199">
        <f t="shared" si="197"/>
        <v>3682081.37</v>
      </c>
      <c r="VJ25" s="516">
        <f>'Проверочная  таблица'!VD25-VP25</f>
        <v>0</v>
      </c>
      <c r="VK25" s="516">
        <f>'Проверочная  таблица'!VE25-VQ25</f>
        <v>3682081.37</v>
      </c>
      <c r="VL25" s="1199">
        <f t="shared" si="198"/>
        <v>3682081.37</v>
      </c>
      <c r="VM25" s="516">
        <f>'Проверочная  таблица'!VG25-VS25</f>
        <v>0</v>
      </c>
      <c r="VN25" s="516">
        <f>'Проверочная  таблица'!VH25-VT25</f>
        <v>3682081.37</v>
      </c>
      <c r="VO25" s="1199">
        <f t="shared" si="199"/>
        <v>0</v>
      </c>
      <c r="VP25" s="833">
        <f>'[1]Иные межбюджетные трансферты'!AO23</f>
        <v>0</v>
      </c>
      <c r="VQ25" s="830">
        <f>'[1]Иные межбюджетные трансферты'!BE23</f>
        <v>0</v>
      </c>
      <c r="VR25" s="1501">
        <f t="shared" si="200"/>
        <v>0</v>
      </c>
      <c r="VS25" s="1492"/>
      <c r="VT25" s="518">
        <f t="shared" si="201"/>
        <v>0</v>
      </c>
      <c r="VU25" s="521">
        <f>VW25+'Проверочная  таблица'!WE25+WA25+'Проверочная  таблица'!WI25+WC25+'Проверочная  таблица'!WK25</f>
        <v>-6000000</v>
      </c>
      <c r="VV25" s="521">
        <f>VX25+'Проверочная  таблица'!WF25+WB25+'Проверочная  таблица'!WJ25+WD25+'Проверочная  таблица'!WL25</f>
        <v>0</v>
      </c>
      <c r="VW25" s="533"/>
      <c r="VX25" s="533"/>
      <c r="VY25" s="533"/>
      <c r="VZ25" s="533"/>
      <c r="WA25" s="530">
        <f t="shared" si="103"/>
        <v>0</v>
      </c>
      <c r="WB25" s="528">
        <f t="shared" si="104"/>
        <v>0</v>
      </c>
      <c r="WC25" s="534"/>
      <c r="WD25" s="523"/>
      <c r="WE25" s="533">
        <v>-6000000</v>
      </c>
      <c r="WF25" s="533"/>
      <c r="WG25" s="533"/>
      <c r="WH25" s="533"/>
      <c r="WI25" s="530">
        <f t="shared" si="105"/>
        <v>0</v>
      </c>
      <c r="WJ25" s="528">
        <f t="shared" si="106"/>
        <v>0</v>
      </c>
      <c r="WK25" s="523"/>
      <c r="WL25" s="523"/>
      <c r="WM25" s="252">
        <f>'Проверочная  таблица'!WE25+'Проверочная  таблица'!WG25</f>
        <v>-6000000</v>
      </c>
      <c r="WN25" s="252">
        <f>'Проверочная  таблица'!WF25+'Проверочная  таблица'!WH25</f>
        <v>0</v>
      </c>
      <c r="WO25" s="1042"/>
    </row>
    <row r="26" spans="1:613" s="338" customFormat="1" ht="25.5" customHeight="1" x14ac:dyDescent="0.25">
      <c r="A26" s="348" t="s">
        <v>93</v>
      </c>
      <c r="B26" s="526">
        <f>D26+AI26+'Проверочная  таблица'!RA26+'Проверочная  таблица'!SK26</f>
        <v>456664084.28999996</v>
      </c>
      <c r="C26" s="521">
        <f>E26+'Проверочная  таблица'!RD26+AJ26+'Проверочная  таблица'!SL26</f>
        <v>342736113.18000001</v>
      </c>
      <c r="D26" s="524">
        <f t="shared" si="0"/>
        <v>76320132</v>
      </c>
      <c r="E26" s="526">
        <f t="shared" si="1"/>
        <v>57768092</v>
      </c>
      <c r="F26" s="581">
        <f>'[1]Дотация  из  ОБ_факт'!M22</f>
        <v>1629500</v>
      </c>
      <c r="G26" s="963">
        <v>1029170</v>
      </c>
      <c r="H26" s="581">
        <f>'[1]Дотация  из  ОБ_факт'!G22</f>
        <v>30358000</v>
      </c>
      <c r="I26" s="963">
        <v>22786500</v>
      </c>
      <c r="J26" s="582">
        <f t="shared" si="2"/>
        <v>30358000</v>
      </c>
      <c r="K26" s="588">
        <f t="shared" si="3"/>
        <v>22786500</v>
      </c>
      <c r="L26" s="835">
        <f>'[1]Дотация  из  ОБ_факт'!K22</f>
        <v>0</v>
      </c>
      <c r="M26" s="1446"/>
      <c r="N26" s="581">
        <f>'[1]Дотация  из  ОБ_факт'!Q22</f>
        <v>18161309.999999996</v>
      </c>
      <c r="O26" s="963">
        <v>13580000</v>
      </c>
      <c r="P26" s="581">
        <f>'[1]Дотация  из  ОБ_факт'!S22</f>
        <v>25146495.000000004</v>
      </c>
      <c r="Q26" s="1442">
        <v>19347595</v>
      </c>
      <c r="R26" s="588">
        <f t="shared" si="4"/>
        <v>25146495.000000004</v>
      </c>
      <c r="S26" s="583">
        <f t="shared" si="5"/>
        <v>19347595</v>
      </c>
      <c r="T26" s="835">
        <f>'[1]Дотация  из  ОБ_факт'!W22</f>
        <v>0</v>
      </c>
      <c r="U26" s="1448"/>
      <c r="V26" s="581">
        <f>'[1]Дотация  из  ОБ_факт'!AA22+'[1]Дотация  из  ОБ_факт'!AC22+'[1]Дотация  из  ОБ_факт'!AG22</f>
        <v>854827</v>
      </c>
      <c r="W26" s="461">
        <f t="shared" si="6"/>
        <v>854827</v>
      </c>
      <c r="X26" s="585">
        <v>750000</v>
      </c>
      <c r="Y26" s="584"/>
      <c r="Z26" s="585">
        <v>104827</v>
      </c>
      <c r="AA26" s="581">
        <f>'[1]Дотация  из  ОБ_факт'!Y22+'[1]Дотация  из  ОБ_факт'!AE22</f>
        <v>170000</v>
      </c>
      <c r="AB26" s="172">
        <f t="shared" si="7"/>
        <v>170000</v>
      </c>
      <c r="AC26" s="584">
        <v>170000</v>
      </c>
      <c r="AD26" s="585"/>
      <c r="AE26" s="582">
        <f t="shared" si="8"/>
        <v>170000</v>
      </c>
      <c r="AF26" s="588">
        <f t="shared" si="9"/>
        <v>170000</v>
      </c>
      <c r="AG26" s="1187">
        <f>'[1]Дотация  из  ОБ_факт'!AE22</f>
        <v>0</v>
      </c>
      <c r="AH26" s="1480">
        <f t="shared" si="107"/>
        <v>0</v>
      </c>
      <c r="AI26" s="579">
        <f>'Проверочная  таблица'!KW26+'Проверочная  таблица'!QS26+'Проверочная  таблица'!QU26+CS26+CU26+DA26+DC26+BU26+CE26+'Проверочная  таблица'!IQ26+'Проверочная  таблица'!JK26+'Проверочная  таблица'!EE26+'Проверочная  таблица'!KO26+DQ26+'Проверочная  таблица'!HQ26+'Проверочная  таблица'!HW26+'Проверочная  таблица'!LA26+'Проверочная  таблица'!LI26+HK26+FQ26+FE26+NK26+EY26+AK26+AW26+FK26+GM26+GS26+DI26+NQ26+FW26+EK26+OE26+MG26+GG26+PU26+QA26</f>
        <v>60521356.20000001</v>
      </c>
      <c r="AJ26" s="498">
        <f>'Проверочная  таблица'!KY26+'Проверочная  таблица'!QT26+'Проверочная  таблица'!QV26+CT26+CV26+DB26+DD26+BZ26+CJ26+'Проверочная  таблица'!JA26+'Проверочная  таблица'!JP26+'Проверочная  таблица'!EH26+'Проверочная  таблица'!KS26+DX26+'Проверочная  таблица'!HT26+'Проверочная  таблица'!HZ26+'Проверочная  таблица'!LE26+'Проверочная  таблица'!LM26+HN26+FN26+FT26+FH26+NN26+FB26+AQ26+BA26+GP26+GV26+DM26+NX26+FZ26+ER26+OL26+ML26+GJ26+PX26+QD26</f>
        <v>21659504.790000003</v>
      </c>
      <c r="AK26" s="466">
        <f t="shared" si="108"/>
        <v>0</v>
      </c>
      <c r="AL26" s="525">
        <f>[1]Субсидия_факт!CD24</f>
        <v>0</v>
      </c>
      <c r="AM26" s="508">
        <f>[1]Субсидия_факт!EX24</f>
        <v>0</v>
      </c>
      <c r="AN26" s="506">
        <f>[1]Субсидия_факт!FJ24</f>
        <v>0</v>
      </c>
      <c r="AO26" s="525">
        <f>[1]Субсидия_факт!LT24</f>
        <v>0</v>
      </c>
      <c r="AP26" s="622">
        <f>[1]Субсидия_факт!LZ24</f>
        <v>0</v>
      </c>
      <c r="AQ26" s="748">
        <f t="shared" si="109"/>
        <v>0</v>
      </c>
      <c r="AR26" s="474"/>
      <c r="AS26" s="474"/>
      <c r="AT26" s="474"/>
      <c r="AU26" s="474"/>
      <c r="AV26" s="531"/>
      <c r="AW26" s="498">
        <f t="shared" si="10"/>
        <v>0</v>
      </c>
      <c r="AX26" s="525">
        <f>[1]Субсидия_факт!CF24</f>
        <v>0</v>
      </c>
      <c r="AY26" s="508">
        <f>[1]Субсидия_факт!FB24</f>
        <v>0</v>
      </c>
      <c r="AZ26" s="646">
        <f>[1]Субсидия_факт!LV24</f>
        <v>0</v>
      </c>
      <c r="BA26" s="466">
        <f t="shared" si="11"/>
        <v>0</v>
      </c>
      <c r="BB26" s="531"/>
      <c r="BC26" s="531"/>
      <c r="BD26" s="532"/>
      <c r="BE26" s="669">
        <f t="shared" si="12"/>
        <v>0</v>
      </c>
      <c r="BF26" s="652">
        <f t="shared" si="13"/>
        <v>0</v>
      </c>
      <c r="BG26" s="464">
        <f t="shared" si="14"/>
        <v>0</v>
      </c>
      <c r="BH26" s="341">
        <f t="shared" si="15"/>
        <v>0</v>
      </c>
      <c r="BI26" s="669">
        <f t="shared" si="16"/>
        <v>0</v>
      </c>
      <c r="BJ26" s="622">
        <f t="shared" si="17"/>
        <v>0</v>
      </c>
      <c r="BK26" s="506">
        <f t="shared" si="18"/>
        <v>0</v>
      </c>
      <c r="BL26" s="341">
        <f t="shared" si="19"/>
        <v>0</v>
      </c>
      <c r="BM26" s="667">
        <f t="shared" si="20"/>
        <v>0</v>
      </c>
      <c r="BN26" s="525">
        <f>[1]Субсидия_факт!CH24</f>
        <v>0</v>
      </c>
      <c r="BO26" s="508">
        <f>[1]Субсидия_факт!FD24</f>
        <v>0</v>
      </c>
      <c r="BP26" s="646">
        <f>[1]Субсидия_факт!LX24</f>
        <v>0</v>
      </c>
      <c r="BQ26" s="669">
        <f t="shared" si="21"/>
        <v>0</v>
      </c>
      <c r="BR26" s="532"/>
      <c r="BS26" s="531"/>
      <c r="BT26" s="532"/>
      <c r="BU26" s="521">
        <f t="shared" si="110"/>
        <v>28540304.469999999</v>
      </c>
      <c r="BV26" s="562">
        <f>[1]Субсидия_факт!HB24</f>
        <v>0</v>
      </c>
      <c r="BW26" s="516">
        <f>[1]Субсидия_факт!HH24</f>
        <v>28540304.469999999</v>
      </c>
      <c r="BX26" s="531">
        <f>[1]Субсидия_факт!HP24</f>
        <v>0</v>
      </c>
      <c r="BY26" s="562">
        <f>[1]Субсидия_факт!HV24</f>
        <v>0</v>
      </c>
      <c r="BZ26" s="521">
        <f t="shared" si="111"/>
        <v>4497715.3</v>
      </c>
      <c r="CA26" s="531"/>
      <c r="CB26" s="531">
        <v>4497715.3</v>
      </c>
      <c r="CC26" s="625"/>
      <c r="CD26" s="625"/>
      <c r="CE26" s="526">
        <f t="shared" si="112"/>
        <v>0</v>
      </c>
      <c r="CF26" s="525">
        <f>[1]Субсидия_факт!HD24</f>
        <v>0</v>
      </c>
      <c r="CG26" s="525">
        <f>[1]Субсидия_факт!HJ24</f>
        <v>0</v>
      </c>
      <c r="CH26" s="531">
        <f>[1]Субсидия_факт!HR24</f>
        <v>0</v>
      </c>
      <c r="CI26" s="646">
        <f>[1]Субсидия_факт!HX24</f>
        <v>0</v>
      </c>
      <c r="CJ26" s="521">
        <f t="shared" si="113"/>
        <v>0</v>
      </c>
      <c r="CK26" s="531"/>
      <c r="CL26" s="532"/>
      <c r="CM26" s="625"/>
      <c r="CN26" s="724"/>
      <c r="CO26" s="530">
        <f t="shared" si="22"/>
        <v>0</v>
      </c>
      <c r="CP26" s="528">
        <f t="shared" si="23"/>
        <v>0</v>
      </c>
      <c r="CQ26" s="527">
        <f t="shared" si="114"/>
        <v>0</v>
      </c>
      <c r="CR26" s="530">
        <f t="shared" si="115"/>
        <v>0</v>
      </c>
      <c r="CS26" s="521">
        <f>[1]Субсидия_факт!FL24</f>
        <v>0</v>
      </c>
      <c r="CT26" s="620"/>
      <c r="CU26" s="521">
        <f>[1]Субсидия_факт!FN24</f>
        <v>0</v>
      </c>
      <c r="CV26" s="620"/>
      <c r="CW26" s="528">
        <f t="shared" si="24"/>
        <v>0</v>
      </c>
      <c r="CX26" s="527">
        <f t="shared" si="25"/>
        <v>0</v>
      </c>
      <c r="CY26" s="587">
        <f>[1]Субсидия_факт!FP24</f>
        <v>0</v>
      </c>
      <c r="CZ26" s="1480">
        <f t="shared" si="205"/>
        <v>0</v>
      </c>
      <c r="DA26" s="526">
        <f>[1]Субсидия_факт!FR24</f>
        <v>0</v>
      </c>
      <c r="DB26" s="339"/>
      <c r="DC26" s="524">
        <f>[1]Субсидия_факт!FT24</f>
        <v>0</v>
      </c>
      <c r="DD26" s="339"/>
      <c r="DE26" s="1238">
        <f t="shared" si="26"/>
        <v>0</v>
      </c>
      <c r="DF26" s="528">
        <f t="shared" si="27"/>
        <v>0</v>
      </c>
      <c r="DG26" s="663">
        <f>[1]Субсидия_факт!FV24</f>
        <v>0</v>
      </c>
      <c r="DH26" s="1478">
        <f t="shared" si="116"/>
        <v>0</v>
      </c>
      <c r="DI26" s="498">
        <f t="shared" si="117"/>
        <v>0</v>
      </c>
      <c r="DJ26" s="625">
        <f>[1]Субсидия_факт!EV24</f>
        <v>0</v>
      </c>
      <c r="DK26" s="516">
        <f>[1]Субсидия_факт!EL24</f>
        <v>0</v>
      </c>
      <c r="DL26" s="838">
        <f>[1]Субсидия_факт!EN24</f>
        <v>0</v>
      </c>
      <c r="DM26" s="466">
        <f t="shared" si="118"/>
        <v>0</v>
      </c>
      <c r="DN26" s="625"/>
      <c r="DO26" s="625"/>
      <c r="DP26" s="987"/>
      <c r="DQ26" s="526">
        <f t="shared" si="28"/>
        <v>3643200</v>
      </c>
      <c r="DR26" s="508">
        <f>[1]Субсидия_факт!N24</f>
        <v>2401200</v>
      </c>
      <c r="DS26" s="652">
        <f>[1]Субсидия_факт!P24</f>
        <v>0</v>
      </c>
      <c r="DT26" s="682">
        <f>[1]Субсидия_факт!R24</f>
        <v>0</v>
      </c>
      <c r="DU26" s="506">
        <f>[1]Субсидия_факт!T24</f>
        <v>0</v>
      </c>
      <c r="DV26" s="689">
        <f>[1]Субсидия_факт!V24</f>
        <v>0</v>
      </c>
      <c r="DW26" s="506">
        <f>[1]Субсидия_факт!X24</f>
        <v>1242000</v>
      </c>
      <c r="DX26" s="521">
        <f t="shared" si="29"/>
        <v>336720</v>
      </c>
      <c r="DY26" s="532">
        <v>198720</v>
      </c>
      <c r="DZ26" s="531"/>
      <c r="EA26" s="686"/>
      <c r="EB26" s="531"/>
      <c r="EC26" s="686"/>
      <c r="ED26" s="531">
        <v>138000</v>
      </c>
      <c r="EE26" s="498">
        <f t="shared" si="30"/>
        <v>0</v>
      </c>
      <c r="EF26" s="516">
        <f>[1]Субсидия_факт!BL24</f>
        <v>0</v>
      </c>
      <c r="EG26" s="838">
        <f>[1]Субсидия_факт!BN24</f>
        <v>0</v>
      </c>
      <c r="EH26" s="466">
        <f t="shared" si="31"/>
        <v>0</v>
      </c>
      <c r="EI26" s="772"/>
      <c r="EJ26" s="987"/>
      <c r="EK26" s="526">
        <f t="shared" si="32"/>
        <v>0</v>
      </c>
      <c r="EL26" s="525">
        <f>[1]Субсидия_факт!AF24</f>
        <v>0</v>
      </c>
      <c r="EM26" s="689">
        <f>[1]Субсидия_факт!AH24</f>
        <v>0</v>
      </c>
      <c r="EN26" s="506">
        <f>[1]Субсидия_факт!AJ24</f>
        <v>0</v>
      </c>
      <c r="EO26" s="866">
        <f>[1]Субсидия_факт!AL24</f>
        <v>0</v>
      </c>
      <c r="EP26" s="622">
        <f>[1]Субсидия_факт!AN24</f>
        <v>0</v>
      </c>
      <c r="EQ26" s="712">
        <f>[1]Субсидия_факт!AP24</f>
        <v>0</v>
      </c>
      <c r="ER26" s="521">
        <f t="shared" si="33"/>
        <v>0</v>
      </c>
      <c r="ES26" s="474"/>
      <c r="ET26" s="686"/>
      <c r="EU26" s="474"/>
      <c r="EV26" s="686"/>
      <c r="EW26" s="474"/>
      <c r="EX26" s="686"/>
      <c r="EY26" s="498">
        <f t="shared" si="34"/>
        <v>0</v>
      </c>
      <c r="EZ26" s="516">
        <f>[1]Субсидия_факт!AV24</f>
        <v>0</v>
      </c>
      <c r="FA26" s="752">
        <f>[1]Субсидия_факт!AX24</f>
        <v>0</v>
      </c>
      <c r="FB26" s="466">
        <f t="shared" si="35"/>
        <v>0</v>
      </c>
      <c r="FC26" s="772"/>
      <c r="FD26" s="678"/>
      <c r="FE26" s="498">
        <f t="shared" si="36"/>
        <v>0</v>
      </c>
      <c r="FF26" s="516">
        <f>[1]Субсидия_факт!BT24</f>
        <v>0</v>
      </c>
      <c r="FG26" s="838">
        <f>[1]Субсидия_факт!BV24</f>
        <v>0</v>
      </c>
      <c r="FH26" s="466">
        <f t="shared" si="37"/>
        <v>0</v>
      </c>
      <c r="FI26" s="772"/>
      <c r="FJ26" s="678"/>
      <c r="FK26" s="498">
        <f t="shared" si="38"/>
        <v>0</v>
      </c>
      <c r="FL26" s="516">
        <f>[1]Субсидия_факт!BP24</f>
        <v>0</v>
      </c>
      <c r="FM26" s="838">
        <f>[1]Субсидия_факт!BR24</f>
        <v>0</v>
      </c>
      <c r="FN26" s="466">
        <f t="shared" si="39"/>
        <v>0</v>
      </c>
      <c r="FO26" s="772"/>
      <c r="FP26" s="678"/>
      <c r="FQ26" s="498">
        <f t="shared" si="40"/>
        <v>0</v>
      </c>
      <c r="FR26" s="516">
        <f>[1]Субсидия_факт!IV24</f>
        <v>0</v>
      </c>
      <c r="FS26" s="838">
        <f>[1]Субсидия_факт!IX24</f>
        <v>0</v>
      </c>
      <c r="FT26" s="466">
        <f t="shared" si="41"/>
        <v>0</v>
      </c>
      <c r="FU26" s="772"/>
      <c r="FV26" s="678"/>
      <c r="FW26" s="498">
        <f t="shared" si="42"/>
        <v>0</v>
      </c>
      <c r="FX26" s="516">
        <f>[1]Субсидия_факт!IZ24</f>
        <v>0</v>
      </c>
      <c r="FY26" s="838">
        <f>[1]Субсидия_факт!JD24</f>
        <v>0</v>
      </c>
      <c r="FZ26" s="466">
        <f t="shared" si="43"/>
        <v>0</v>
      </c>
      <c r="GA26" s="772"/>
      <c r="GB26" s="678"/>
      <c r="GC26" s="667">
        <f t="shared" si="119"/>
        <v>0</v>
      </c>
      <c r="GD26" s="669">
        <f t="shared" si="120"/>
        <v>0</v>
      </c>
      <c r="GE26" s="667">
        <f t="shared" si="121"/>
        <v>0</v>
      </c>
      <c r="GF26" s="669">
        <f t="shared" si="122"/>
        <v>0</v>
      </c>
      <c r="GG26" s="498">
        <f t="shared" si="123"/>
        <v>0</v>
      </c>
      <c r="GH26" s="1251">
        <f>[1]Субсидия_факт!BH24</f>
        <v>0</v>
      </c>
      <c r="GI26" s="676">
        <f>[1]Субсидия_факт!BJ24</f>
        <v>0</v>
      </c>
      <c r="GJ26" s="498">
        <f t="shared" si="124"/>
        <v>0</v>
      </c>
      <c r="GK26" s="724"/>
      <c r="GL26" s="678"/>
      <c r="GM26" s="498">
        <f t="shared" si="44"/>
        <v>0</v>
      </c>
      <c r="GN26" s="516"/>
      <c r="GO26" s="838"/>
      <c r="GP26" s="466">
        <f t="shared" si="45"/>
        <v>0</v>
      </c>
      <c r="GQ26" s="724"/>
      <c r="GR26" s="678"/>
      <c r="GS26" s="498">
        <f t="shared" si="46"/>
        <v>0</v>
      </c>
      <c r="GT26" s="516">
        <f>[1]Субсидия_факт!FZ24</f>
        <v>0</v>
      </c>
      <c r="GU26" s="838">
        <f>[1]Субсидия_факт!GD24</f>
        <v>0</v>
      </c>
      <c r="GV26" s="466">
        <f t="shared" si="47"/>
        <v>0</v>
      </c>
      <c r="GW26" s="724"/>
      <c r="GX26" s="678"/>
      <c r="GY26" s="667">
        <f t="shared" si="48"/>
        <v>0</v>
      </c>
      <c r="GZ26" s="516">
        <f t="shared" si="125"/>
        <v>0</v>
      </c>
      <c r="HA26" s="838">
        <f t="shared" si="125"/>
        <v>0</v>
      </c>
      <c r="HB26" s="669">
        <f t="shared" si="49"/>
        <v>0</v>
      </c>
      <c r="HC26" s="516">
        <f t="shared" si="125"/>
        <v>0</v>
      </c>
      <c r="HD26" s="838">
        <f t="shared" si="125"/>
        <v>0</v>
      </c>
      <c r="HE26" s="667">
        <f t="shared" si="50"/>
        <v>0</v>
      </c>
      <c r="HF26" s="516">
        <f>[1]Субсидия_факт!GB24</f>
        <v>0</v>
      </c>
      <c r="HG26" s="838">
        <f>[1]Субсидия_факт!GF24</f>
        <v>0</v>
      </c>
      <c r="HH26" s="669">
        <f t="shared" si="51"/>
        <v>0</v>
      </c>
      <c r="HI26" s="724"/>
      <c r="HJ26" s="678"/>
      <c r="HK26" s="526">
        <f t="shared" si="126"/>
        <v>0</v>
      </c>
      <c r="HL26" s="518">
        <f>[1]Субсидия_факт!DD24</f>
        <v>0</v>
      </c>
      <c r="HM26" s="752">
        <f>[1]Субсидия_факт!DF24</f>
        <v>0</v>
      </c>
      <c r="HN26" s="521">
        <f t="shared" si="127"/>
        <v>0</v>
      </c>
      <c r="HO26" s="531"/>
      <c r="HP26" s="706"/>
      <c r="HQ26" s="579">
        <f t="shared" si="54"/>
        <v>346242.06</v>
      </c>
      <c r="HR26" s="516">
        <f>[1]Субсидия_факт!CR24</f>
        <v>96947.78</v>
      </c>
      <c r="HS26" s="838">
        <f>[1]Субсидия_факт!CX24</f>
        <v>249294.28</v>
      </c>
      <c r="HT26" s="466">
        <f t="shared" si="55"/>
        <v>346242.06</v>
      </c>
      <c r="HU26" s="1251">
        <f t="shared" si="212"/>
        <v>96947.78</v>
      </c>
      <c r="HV26" s="1519">
        <f t="shared" si="212"/>
        <v>249294.28</v>
      </c>
      <c r="HW26" s="466">
        <f t="shared" si="56"/>
        <v>141491.82</v>
      </c>
      <c r="HX26" s="516">
        <f>[1]Субсидия_факт!CT24</f>
        <v>39617.709999999992</v>
      </c>
      <c r="HY26" s="752">
        <f>[1]Субсидия_факт!CZ24</f>
        <v>101874.11000000002</v>
      </c>
      <c r="HZ26" s="466">
        <f t="shared" si="57"/>
        <v>141491.82</v>
      </c>
      <c r="IA26" s="757">
        <f t="shared" si="128"/>
        <v>39617.709999999992</v>
      </c>
      <c r="IB26" s="789">
        <f t="shared" si="129"/>
        <v>101874.11000000002</v>
      </c>
      <c r="IC26" s="625">
        <v>136565.49</v>
      </c>
      <c r="ID26" s="709">
        <v>351168.39</v>
      </c>
      <c r="IE26" s="669">
        <f t="shared" si="58"/>
        <v>141491.82</v>
      </c>
      <c r="IF26" s="750">
        <f>'Проверочная  таблица'!HX26-'Проверочная  таблица'!IL26</f>
        <v>39617.709999999992</v>
      </c>
      <c r="IG26" s="676">
        <f>'Проверочная  таблица'!HY26-'Проверочная  таблица'!IM26</f>
        <v>101874.11000000002</v>
      </c>
      <c r="IH26" s="663">
        <f t="shared" si="59"/>
        <v>141491.82</v>
      </c>
      <c r="II26" s="757">
        <f>'Проверочная  таблица'!IA26-'Проверочная  таблица'!IO26</f>
        <v>39617.709999999992</v>
      </c>
      <c r="IJ26" s="768">
        <f>'Проверочная  таблица'!IB26-'Проверочная  таблица'!IP26</f>
        <v>101874.11000000002</v>
      </c>
      <c r="IK26" s="669">
        <f t="shared" si="60"/>
        <v>0</v>
      </c>
      <c r="IL26" s="516">
        <f>[1]Субсидия_факт!CV24</f>
        <v>0</v>
      </c>
      <c r="IM26" s="838">
        <f>[1]Субсидия_факт!DB24</f>
        <v>0</v>
      </c>
      <c r="IN26" s="669">
        <f t="shared" si="61"/>
        <v>0</v>
      </c>
      <c r="IO26" s="724"/>
      <c r="IP26" s="678"/>
      <c r="IQ26" s="466">
        <f t="shared" si="130"/>
        <v>5270000</v>
      </c>
      <c r="IR26" s="757">
        <f>[1]Субсидия_факт!CJ24</f>
        <v>0</v>
      </c>
      <c r="IS26" s="676">
        <f>[1]Субсидия_факт!CN24</f>
        <v>0</v>
      </c>
      <c r="IT26" s="757">
        <f>[1]Субсидия_факт!DH24</f>
        <v>0</v>
      </c>
      <c r="IU26" s="676">
        <f>[1]Субсидия_факт!DN24</f>
        <v>0</v>
      </c>
      <c r="IV26" s="525">
        <f>[1]Субсидия_факт!DX24</f>
        <v>0</v>
      </c>
      <c r="IW26" s="689">
        <f>[1]Субсидия_факт!DZ24</f>
        <v>0</v>
      </c>
      <c r="IX26" s="1295">
        <f>[1]Субсидия_факт!DT24</f>
        <v>269612.63</v>
      </c>
      <c r="IY26" s="676">
        <f>[1]Субсидия_факт!DV24</f>
        <v>5000387.37</v>
      </c>
      <c r="IZ26" s="516">
        <f>[1]Субсидия_факт!EB24</f>
        <v>0</v>
      </c>
      <c r="JA26" s="466">
        <f t="shared" si="131"/>
        <v>5269999.99</v>
      </c>
      <c r="JB26" s="625"/>
      <c r="JC26" s="678"/>
      <c r="JD26" s="625"/>
      <c r="JE26" s="678"/>
      <c r="JF26" s="531"/>
      <c r="JG26" s="706"/>
      <c r="JH26" s="625">
        <v>269612.62</v>
      </c>
      <c r="JI26" s="678">
        <v>5000387.37</v>
      </c>
      <c r="JJ26" s="757">
        <f t="shared" si="132"/>
        <v>0</v>
      </c>
      <c r="JK26" s="748">
        <f t="shared" si="133"/>
        <v>0</v>
      </c>
      <c r="JL26" s="757">
        <f>[1]Субсидия_факт!CL24</f>
        <v>0</v>
      </c>
      <c r="JM26" s="676">
        <f>[1]Субсидия_факт!CP24</f>
        <v>0</v>
      </c>
      <c r="JN26" s="757">
        <f>[1]Субсидия_факт!DJ24</f>
        <v>0</v>
      </c>
      <c r="JO26" s="676">
        <f>[1]Субсидия_факт!DP24</f>
        <v>0</v>
      </c>
      <c r="JP26" s="748">
        <f t="shared" si="134"/>
        <v>0</v>
      </c>
      <c r="JQ26" s="625"/>
      <c r="JR26" s="678"/>
      <c r="JS26" s="625"/>
      <c r="JT26" s="678"/>
      <c r="JU26" s="587">
        <f t="shared" si="135"/>
        <v>0</v>
      </c>
      <c r="JV26" s="757">
        <f>'Проверочная  таблица'!JL26-KF26</f>
        <v>0</v>
      </c>
      <c r="JW26" s="676">
        <f>'Проверочная  таблица'!JM26-KG26</f>
        <v>0</v>
      </c>
      <c r="JX26" s="757">
        <f>'Проверочная  таблица'!JN26-KH26</f>
        <v>0</v>
      </c>
      <c r="JY26" s="676">
        <f>'Проверочная  таблица'!JO26-KI26</f>
        <v>0</v>
      </c>
      <c r="JZ26" s="587">
        <f t="shared" si="136"/>
        <v>0</v>
      </c>
      <c r="KA26" s="757">
        <f>'Проверочная  таблица'!JQ26-KK26</f>
        <v>0</v>
      </c>
      <c r="KB26" s="676">
        <f>'Проверочная  таблица'!JR26-KL26</f>
        <v>0</v>
      </c>
      <c r="KC26" s="757">
        <f>'Проверочная  таблица'!JS26-KM26</f>
        <v>0</v>
      </c>
      <c r="KD26" s="789">
        <f>'Проверочная  таблица'!JT26-KN26</f>
        <v>0</v>
      </c>
      <c r="KE26" s="587">
        <f t="shared" si="137"/>
        <v>0</v>
      </c>
      <c r="KF26" s="625"/>
      <c r="KG26" s="678"/>
      <c r="KH26" s="757">
        <f>[1]Субсидия_факт!DL24</f>
        <v>0</v>
      </c>
      <c r="KI26" s="1519">
        <f>[1]Субсидия_факт!DR24</f>
        <v>0</v>
      </c>
      <c r="KJ26" s="587">
        <f t="shared" si="138"/>
        <v>0</v>
      </c>
      <c r="KK26" s="753"/>
      <c r="KL26" s="678"/>
      <c r="KM26" s="625"/>
      <c r="KN26" s="678"/>
      <c r="KO26" s="579">
        <f t="shared" si="139"/>
        <v>0</v>
      </c>
      <c r="KP26" s="516">
        <f>[1]Субсидия_факт!BX24</f>
        <v>0</v>
      </c>
      <c r="KQ26" s="838">
        <f>[1]Субсидия_факт!BZ24</f>
        <v>0</v>
      </c>
      <c r="KR26" s="516">
        <f>[1]Субсидия_факт!CB24</f>
        <v>0</v>
      </c>
      <c r="KS26" s="466">
        <f t="shared" si="140"/>
        <v>0</v>
      </c>
      <c r="KT26" s="625"/>
      <c r="KU26" s="678"/>
      <c r="KV26" s="625"/>
      <c r="KW26" s="498">
        <f t="shared" si="62"/>
        <v>0</v>
      </c>
      <c r="KX26" s="508">
        <f>[1]Субсидия_факт!GN24</f>
        <v>0</v>
      </c>
      <c r="KY26" s="466">
        <f t="shared" si="63"/>
        <v>0</v>
      </c>
      <c r="KZ26" s="625"/>
      <c r="LA26" s="754">
        <f t="shared" si="206"/>
        <v>0</v>
      </c>
      <c r="LB26" s="516">
        <f>[1]Субсидия_факт!JT24</f>
        <v>0</v>
      </c>
      <c r="LC26" s="838">
        <f>[1]Субсидия_факт!JZ24</f>
        <v>0</v>
      </c>
      <c r="LD26" s="508"/>
      <c r="LE26" s="754">
        <f t="shared" si="207"/>
        <v>0</v>
      </c>
      <c r="LF26" s="772"/>
      <c r="LG26" s="678"/>
      <c r="LH26" s="625"/>
      <c r="LI26" s="754">
        <f t="shared" si="141"/>
        <v>11011152.300000001</v>
      </c>
      <c r="LJ26" s="516">
        <f>[1]Субсидия_факт!JV24</f>
        <v>0</v>
      </c>
      <c r="LK26" s="838">
        <f>[1]Субсидия_факт!KB24</f>
        <v>0</v>
      </c>
      <c r="LL26" s="518">
        <f>[1]Субсидия_факт!KF24</f>
        <v>11011152.300000001</v>
      </c>
      <c r="LM26" s="754">
        <f t="shared" si="142"/>
        <v>6000000</v>
      </c>
      <c r="LN26" s="625"/>
      <c r="LO26" s="771"/>
      <c r="LP26" s="625">
        <v>6000000</v>
      </c>
      <c r="LQ26" s="756">
        <f t="shared" si="143"/>
        <v>11011152.300000001</v>
      </c>
      <c r="LR26" s="652">
        <f>'Проверочная  таблица'!LJ26-LZ26</f>
        <v>0</v>
      </c>
      <c r="LS26" s="682">
        <f>'Проверочная  таблица'!LK26-MA26</f>
        <v>0</v>
      </c>
      <c r="LT26" s="622">
        <f>'Проверочная  таблица'!LL26-MB26</f>
        <v>11011152.300000001</v>
      </c>
      <c r="LU26" s="756">
        <f t="shared" si="144"/>
        <v>6000000</v>
      </c>
      <c r="LV26" s="750">
        <f>'Проверочная  таблица'!LN26-MD26</f>
        <v>0</v>
      </c>
      <c r="LW26" s="676">
        <f>'Проверочная  таблица'!LO26-ME26</f>
        <v>0</v>
      </c>
      <c r="LX26" s="757">
        <f>'Проверочная  таблица'!LP26-MF26</f>
        <v>6000000</v>
      </c>
      <c r="LY26" s="756">
        <f t="shared" si="145"/>
        <v>0</v>
      </c>
      <c r="LZ26" s="516">
        <f>[1]Субсидия_факт!JX24</f>
        <v>0</v>
      </c>
      <c r="MA26" s="838">
        <f>[1]Субсидия_факт!KD24</f>
        <v>0</v>
      </c>
      <c r="MB26" s="516">
        <f>[1]Субсидия_факт!KH24</f>
        <v>0</v>
      </c>
      <c r="MC26" s="756">
        <f t="shared" si="146"/>
        <v>0</v>
      </c>
      <c r="MD26" s="750">
        <f t="shared" si="203"/>
        <v>0</v>
      </c>
      <c r="ME26" s="676">
        <f t="shared" si="204"/>
        <v>0</v>
      </c>
      <c r="MF26" s="516"/>
      <c r="MG26" s="521">
        <f t="shared" si="147"/>
        <v>564047.60000000009</v>
      </c>
      <c r="MH26" s="652">
        <f>[1]Субсидия_факт!KR24</f>
        <v>28202.38</v>
      </c>
      <c r="MI26" s="682">
        <f>[1]Субсидия_факт!KV24</f>
        <v>535845.22000000009</v>
      </c>
      <c r="MJ26" s="750">
        <f>[1]Субсидия_факт!KZ24</f>
        <v>0</v>
      </c>
      <c r="MK26" s="1519">
        <f>[1]Субсидия_факт!LD24</f>
        <v>0</v>
      </c>
      <c r="ML26" s="521">
        <f t="shared" si="148"/>
        <v>564047.6</v>
      </c>
      <c r="MM26" s="1609">
        <v>28202.38</v>
      </c>
      <c r="MN26" s="706">
        <v>535845.22</v>
      </c>
      <c r="MO26" s="342"/>
      <c r="MP26" s="770"/>
      <c r="MQ26" s="587">
        <f t="shared" si="149"/>
        <v>564047.60000000009</v>
      </c>
      <c r="MR26" s="1613">
        <f t="shared" si="64"/>
        <v>28202.38</v>
      </c>
      <c r="MS26" s="682">
        <f t="shared" si="65"/>
        <v>535845.22000000009</v>
      </c>
      <c r="MT26" s="487">
        <f t="shared" si="66"/>
        <v>0</v>
      </c>
      <c r="MU26" s="682">
        <f t="shared" si="67"/>
        <v>0</v>
      </c>
      <c r="MV26" s="587">
        <f t="shared" si="150"/>
        <v>564047.6</v>
      </c>
      <c r="MW26" s="487">
        <f t="shared" si="68"/>
        <v>28202.38</v>
      </c>
      <c r="MX26" s="682">
        <f t="shared" si="69"/>
        <v>535845.22</v>
      </c>
      <c r="MY26" s="487">
        <f t="shared" si="70"/>
        <v>0</v>
      </c>
      <c r="MZ26" s="682">
        <f t="shared" si="71"/>
        <v>0</v>
      </c>
      <c r="NA26" s="587">
        <f t="shared" si="151"/>
        <v>0</v>
      </c>
      <c r="NB26" s="1079">
        <f>[1]Субсидия_факт!KT24</f>
        <v>0</v>
      </c>
      <c r="NC26" s="682">
        <f>[1]Субсидия_факт!KX24</f>
        <v>0</v>
      </c>
      <c r="ND26" s="625">
        <f>[1]Субсидия_факт!LB24</f>
        <v>0</v>
      </c>
      <c r="NE26" s="709">
        <f>[1]Субсидия_факт!LF24</f>
        <v>0</v>
      </c>
      <c r="NF26" s="587">
        <f t="shared" si="152"/>
        <v>0</v>
      </c>
      <c r="NG26" s="487"/>
      <c r="NH26" s="712"/>
      <c r="NI26" s="342"/>
      <c r="NJ26" s="706"/>
      <c r="NK26" s="498">
        <f t="shared" si="72"/>
        <v>0</v>
      </c>
      <c r="NL26" s="516">
        <f>[1]Субсидия_факт!AB24</f>
        <v>0</v>
      </c>
      <c r="NM26" s="838">
        <f>[1]Субсидия_факт!AD24</f>
        <v>0</v>
      </c>
      <c r="NN26" s="466">
        <f t="shared" si="73"/>
        <v>0</v>
      </c>
      <c r="NO26" s="772"/>
      <c r="NP26" s="987"/>
      <c r="NQ26" s="521">
        <f t="shared" si="153"/>
        <v>0</v>
      </c>
      <c r="NR26" s="506">
        <f>[1]Субсидия_факт!LH24</f>
        <v>0</v>
      </c>
      <c r="NS26" s="866">
        <f>[1]Субсидия_факт!LJ24</f>
        <v>0</v>
      </c>
      <c r="NT26" s="525">
        <f>[1]Субсидия_факт!MN24</f>
        <v>0</v>
      </c>
      <c r="NU26" s="689">
        <f>[1]Субсидия_факт!MP24</f>
        <v>0</v>
      </c>
      <c r="NV26" s="1147">
        <f>[1]Субсидия_факт!MB24</f>
        <v>0</v>
      </c>
      <c r="NW26" s="682">
        <f>[1]Субсидия_факт!MH24</f>
        <v>0</v>
      </c>
      <c r="NX26" s="521">
        <f t="shared" si="154"/>
        <v>0</v>
      </c>
      <c r="NY26" s="474"/>
      <c r="NZ26" s="686"/>
      <c r="OA26" s="474"/>
      <c r="OB26" s="686"/>
      <c r="OC26" s="342"/>
      <c r="OD26" s="1279"/>
      <c r="OE26" s="521">
        <f t="shared" si="155"/>
        <v>0</v>
      </c>
      <c r="OF26" s="652">
        <f>[1]Субсидия_факт!KJ24</f>
        <v>0</v>
      </c>
      <c r="OG26" s="682">
        <f>[1]Субсидия_факт!KN24</f>
        <v>0</v>
      </c>
      <c r="OH26" s="652">
        <f>[1]Субсидия_факт!LL24</f>
        <v>0</v>
      </c>
      <c r="OI26" s="682">
        <f>[1]Субсидия_факт!LP24</f>
        <v>0</v>
      </c>
      <c r="OJ26" s="652">
        <f>[1]Субсидия_факт!MD24</f>
        <v>0</v>
      </c>
      <c r="OK26" s="682">
        <f>[1]Субсидия_факт!MJ24</f>
        <v>0</v>
      </c>
      <c r="OL26" s="521">
        <f t="shared" si="156"/>
        <v>0</v>
      </c>
      <c r="OM26" s="487"/>
      <c r="ON26" s="712"/>
      <c r="OO26" s="474"/>
      <c r="OP26" s="686"/>
      <c r="OQ26" s="487"/>
      <c r="OR26" s="712"/>
      <c r="OS26" s="587">
        <f t="shared" si="157"/>
        <v>0</v>
      </c>
      <c r="OT26" s="1066">
        <f t="shared" si="74"/>
        <v>0</v>
      </c>
      <c r="OU26" s="682">
        <f t="shared" si="75"/>
        <v>0</v>
      </c>
      <c r="OV26" s="1066">
        <f t="shared" si="76"/>
        <v>0</v>
      </c>
      <c r="OW26" s="682">
        <f t="shared" si="77"/>
        <v>0</v>
      </c>
      <c r="OX26" s="1147">
        <f t="shared" si="78"/>
        <v>0</v>
      </c>
      <c r="OY26" s="682">
        <f t="shared" si="79"/>
        <v>0</v>
      </c>
      <c r="OZ26" s="587">
        <f t="shared" si="158"/>
        <v>0</v>
      </c>
      <c r="PA26" s="1066">
        <f t="shared" si="80"/>
        <v>0</v>
      </c>
      <c r="PB26" s="682">
        <f t="shared" si="81"/>
        <v>0</v>
      </c>
      <c r="PC26" s="1066">
        <f t="shared" si="82"/>
        <v>0</v>
      </c>
      <c r="PD26" s="682">
        <f t="shared" si="83"/>
        <v>0</v>
      </c>
      <c r="PE26" s="1147">
        <f t="shared" si="84"/>
        <v>0</v>
      </c>
      <c r="PF26" s="682">
        <f t="shared" si="85"/>
        <v>0</v>
      </c>
      <c r="PG26" s="587">
        <f t="shared" si="159"/>
        <v>0</v>
      </c>
      <c r="PH26" s="1079">
        <f>[1]Субсидия_факт!KL24</f>
        <v>0</v>
      </c>
      <c r="PI26" s="682">
        <f>[1]Субсидия_факт!KP24</f>
        <v>0</v>
      </c>
      <c r="PJ26" s="652">
        <f>[1]Субсидия_факт!LN24</f>
        <v>0</v>
      </c>
      <c r="PK26" s="682">
        <f>[1]Субсидия_факт!LR24</f>
        <v>0</v>
      </c>
      <c r="PL26" s="652">
        <f>[1]Субсидия_факт!MF24</f>
        <v>0</v>
      </c>
      <c r="PM26" s="682">
        <f>[1]Субсидия_факт!ML24</f>
        <v>0</v>
      </c>
      <c r="PN26" s="587">
        <f t="shared" si="160"/>
        <v>0</v>
      </c>
      <c r="PO26" s="487"/>
      <c r="PP26" s="712"/>
      <c r="PQ26" s="474"/>
      <c r="PR26" s="686"/>
      <c r="PS26" s="487"/>
      <c r="PT26" s="712"/>
      <c r="PU26" s="466">
        <f t="shared" si="161"/>
        <v>0</v>
      </c>
      <c r="PV26" s="516">
        <f>[1]Субсидия_факт!MR24</f>
        <v>0</v>
      </c>
      <c r="PW26" s="838">
        <f>[1]Субсидия_факт!MX24</f>
        <v>0</v>
      </c>
      <c r="PX26" s="466">
        <f t="shared" si="162"/>
        <v>0</v>
      </c>
      <c r="PY26" s="724"/>
      <c r="PZ26" s="678"/>
      <c r="QA26" s="579">
        <f t="shared" si="163"/>
        <v>0</v>
      </c>
      <c r="QB26" s="516">
        <f>[1]Субсидия_факт!MT24</f>
        <v>0</v>
      </c>
      <c r="QC26" s="838">
        <f>[1]Субсидия_факт!MZ24</f>
        <v>0</v>
      </c>
      <c r="QD26" s="466">
        <f t="shared" si="164"/>
        <v>0</v>
      </c>
      <c r="QE26" s="724"/>
      <c r="QF26" s="987"/>
      <c r="QG26" s="669">
        <f t="shared" si="165"/>
        <v>0</v>
      </c>
      <c r="QH26" s="516">
        <f t="shared" si="166"/>
        <v>0</v>
      </c>
      <c r="QI26" s="838">
        <f t="shared" si="167"/>
        <v>0</v>
      </c>
      <c r="QJ26" s="669">
        <f t="shared" si="168"/>
        <v>0</v>
      </c>
      <c r="QK26" s="516">
        <f t="shared" si="169"/>
        <v>0</v>
      </c>
      <c r="QL26" s="838">
        <f t="shared" si="170"/>
        <v>0</v>
      </c>
      <c r="QM26" s="669">
        <f t="shared" si="171"/>
        <v>0</v>
      </c>
      <c r="QN26" s="516">
        <f>[1]Субсидия_факт!MV24</f>
        <v>0</v>
      </c>
      <c r="QO26" s="838">
        <f>[1]Субсидия_факт!NB24</f>
        <v>0</v>
      </c>
      <c r="QP26" s="669">
        <f t="shared" si="172"/>
        <v>0</v>
      </c>
      <c r="QQ26" s="516">
        <f>[1]Субсидия_факт!NI24</f>
        <v>0</v>
      </c>
      <c r="QR26" s="752">
        <f>[1]Субсидия_факт!NO24</f>
        <v>0</v>
      </c>
      <c r="QS26" s="521">
        <f>'Прочая  субсидия_МР  и  ГО'!B22</f>
        <v>9661691.0999999996</v>
      </c>
      <c r="QT26" s="521">
        <f>'Прочая  субсидия_МР  и  ГО'!C22</f>
        <v>4266256.9000000004</v>
      </c>
      <c r="QU26" s="524">
        <f>'Прочая  субсидия_БП'!B22</f>
        <v>1343226.85</v>
      </c>
      <c r="QV26" s="526">
        <f>'Прочая  субсидия_БП'!C22</f>
        <v>237031.12</v>
      </c>
      <c r="QW26" s="583">
        <f>'Прочая  субсидия_БП'!D22</f>
        <v>1343226.85</v>
      </c>
      <c r="QX26" s="582">
        <f>'Прочая  субсидия_БП'!E22</f>
        <v>237031.12</v>
      </c>
      <c r="QY26" s="588">
        <f>'Прочая  субсидия_БП'!F22</f>
        <v>0</v>
      </c>
      <c r="QZ26" s="583">
        <f>'Прочая  субсидия_БП'!G22</f>
        <v>0</v>
      </c>
      <c r="RA26" s="526">
        <f t="shared" si="173"/>
        <v>303659045.58999997</v>
      </c>
      <c r="RB26" s="525">
        <f>'Проверочная  таблица'!SF26+'Проверочная  таблица'!RG26+'Проверочная  таблица'!RI26+'Проверочная  таблица'!RK26+RX26</f>
        <v>291989766.34999996</v>
      </c>
      <c r="RC26" s="508">
        <f>'Проверочная  таблица'!SG26+'Проверочная  таблица'!RM26+'Проверочная  таблица'!RS26+'Проверочная  таблица'!RO26+'Проверочная  таблица'!RQ26+RU26+RY26+SC26</f>
        <v>11669279.24</v>
      </c>
      <c r="RD26" s="521">
        <f t="shared" si="174"/>
        <v>250315254.69</v>
      </c>
      <c r="RE26" s="506">
        <f>'Проверочная  таблица'!SI26+'Проверочная  таблица'!RH26+'Проверочная  таблица'!RJ26+'Проверочная  таблица'!RL26+SA26</f>
        <v>244561133.47999999</v>
      </c>
      <c r="RF26" s="508">
        <f>'Проверочная  таблица'!SJ26+'Проверочная  таблица'!RN26+'Проверочная  таблица'!RT26+'Проверочная  таблица'!RP26+'Проверочная  таблица'!RR26+RV26+SB26+SD26</f>
        <v>5754121.21</v>
      </c>
      <c r="RG26" s="579">
        <f>'Субвенция  на  полномочия'!B22</f>
        <v>283778163.94999999</v>
      </c>
      <c r="RH26" s="466">
        <f>'Субвенция  на  полномочия'!C22</f>
        <v>238331400</v>
      </c>
      <c r="RI26" s="733">
        <f>[1]Субвенция_факт!Q23*1000</f>
        <v>3410551</v>
      </c>
      <c r="RJ26" s="736">
        <v>2910000</v>
      </c>
      <c r="RK26" s="733">
        <f>[1]Субвенция_факт!J23*1000</f>
        <v>1841643</v>
      </c>
      <c r="RL26" s="736">
        <v>1640000</v>
      </c>
      <c r="RM26" s="733">
        <f>[1]Субвенция_факт!AE23*1000</f>
        <v>1397400</v>
      </c>
      <c r="RN26" s="736">
        <v>957985.5</v>
      </c>
      <c r="RO26" s="733">
        <f>[1]Субвенция_факт!AF23*1000</f>
        <v>4000</v>
      </c>
      <c r="RP26" s="736">
        <v>0</v>
      </c>
      <c r="RQ26" s="733">
        <f>[1]Субвенция_факт!E23*1000</f>
        <v>3223240</v>
      </c>
      <c r="RR26" s="736">
        <v>1407852</v>
      </c>
      <c r="RS26" s="733">
        <f>[1]Субвенция_факт!F23*1000</f>
        <v>0</v>
      </c>
      <c r="RT26" s="827"/>
      <c r="RU26" s="170">
        <f>[1]Субвенция_факт!G23*1000</f>
        <v>0</v>
      </c>
      <c r="RV26" s="1109"/>
      <c r="RW26" s="521">
        <f t="shared" si="88"/>
        <v>7639512.1300000008</v>
      </c>
      <c r="RX26" s="622">
        <f>[1]Субвенция_факт!N23*1000</f>
        <v>2139063.4</v>
      </c>
      <c r="RY26" s="682">
        <f>[1]Субвенция_факт!O23*1000</f>
        <v>5500448.7300000004</v>
      </c>
      <c r="RZ26" s="521">
        <f t="shared" si="89"/>
        <v>3564405.27</v>
      </c>
      <c r="SA26" s="773">
        <v>998033.48</v>
      </c>
      <c r="SB26" s="1279">
        <v>2566371.79</v>
      </c>
      <c r="SC26" s="170">
        <f>[1]Субвенция_факт!AG23*1000</f>
        <v>364190.51</v>
      </c>
      <c r="SD26" s="1277"/>
      <c r="SE26" s="498">
        <f t="shared" si="175"/>
        <v>2000345</v>
      </c>
      <c r="SF26" s="833">
        <f>[1]Субвенция_факт!AD23*1000</f>
        <v>820345</v>
      </c>
      <c r="SG26" s="1562">
        <f>[1]Субвенция_факт!AC23*1000</f>
        <v>1180000</v>
      </c>
      <c r="SH26" s="521">
        <f t="shared" si="176"/>
        <v>1503611.92</v>
      </c>
      <c r="SI26" s="1557">
        <v>681700</v>
      </c>
      <c r="SJ26" s="1635">
        <v>821911.92</v>
      </c>
      <c r="SK26" s="280">
        <f>'Проверочная  таблица'!VC26+'Проверочная  таблица'!UO26+'Проверочная  таблица'!SY26+'Проверочная  таблица'!TC26+UA26+UG26+TK26+TQ26+SM26+SS26</f>
        <v>16163550.5</v>
      </c>
      <c r="SL26" s="170">
        <f>'Проверочная  таблица'!VF26+'Проверочная  таблица'!UV26+'Проверочная  таблица'!TA26+'Проверочная  таблица'!TE26+UD26+UK26+TN26+TT26+SP26+SV26</f>
        <v>12993261.699999999</v>
      </c>
      <c r="SM26" s="524">
        <f t="shared" si="92"/>
        <v>11327400</v>
      </c>
      <c r="SN26" s="833">
        <f>'[1]Иные межбюджетные трансферты'!I24</f>
        <v>0</v>
      </c>
      <c r="SO26" s="880">
        <f>'[1]Иные межбюджетные трансферты'!K24</f>
        <v>11327400</v>
      </c>
      <c r="SP26" s="521">
        <f t="shared" si="93"/>
        <v>8925720</v>
      </c>
      <c r="SQ26" s="1421"/>
      <c r="SR26" s="1422">
        <v>8925720</v>
      </c>
      <c r="SS26" s="521">
        <f t="shared" si="177"/>
        <v>0</v>
      </c>
      <c r="ST26" s="1082">
        <f>'[1]Иные межбюджетные трансферты'!Y24</f>
        <v>0</v>
      </c>
      <c r="SU26" s="1630">
        <f>'[1]Иные межбюджетные трансферты'!AE24</f>
        <v>0</v>
      </c>
      <c r="SV26" s="521">
        <f t="shared" si="178"/>
        <v>0</v>
      </c>
      <c r="SW26" s="906"/>
      <c r="SX26" s="1422"/>
      <c r="SY26" s="1254">
        <f t="shared" si="94"/>
        <v>0</v>
      </c>
      <c r="SZ26" s="1009">
        <f>'[1]Иные межбюджетные трансферты'!AG24</f>
        <v>0</v>
      </c>
      <c r="TA26" s="899">
        <f t="shared" si="95"/>
        <v>0</v>
      </c>
      <c r="TB26" s="1422"/>
      <c r="TC26" s="903">
        <f t="shared" si="96"/>
        <v>0</v>
      </c>
      <c r="TD26" s="1009">
        <f>'[1]Иные межбюджетные трансферты'!AI24</f>
        <v>0</v>
      </c>
      <c r="TE26" s="899">
        <f t="shared" si="97"/>
        <v>0</v>
      </c>
      <c r="TF26" s="1082"/>
      <c r="TG26" s="901">
        <f t="shared" si="98"/>
        <v>0</v>
      </c>
      <c r="TH26" s="897">
        <f t="shared" si="99"/>
        <v>0</v>
      </c>
      <c r="TI26" s="1086">
        <f t="shared" si="179"/>
        <v>0</v>
      </c>
      <c r="TJ26" s="897">
        <f t="shared" si="180"/>
        <v>0</v>
      </c>
      <c r="TK26" s="903">
        <f t="shared" si="181"/>
        <v>0</v>
      </c>
      <c r="TL26" s="1079"/>
      <c r="TM26" s="682"/>
      <c r="TN26" s="903">
        <f t="shared" si="182"/>
        <v>0</v>
      </c>
      <c r="TO26" s="773"/>
      <c r="TP26" s="686"/>
      <c r="TQ26" s="903">
        <f t="shared" si="183"/>
        <v>0</v>
      </c>
      <c r="TR26" s="1079">
        <f>'[1]Иные межбюджетные трансферты'!AQ24</f>
        <v>0</v>
      </c>
      <c r="TS26" s="682">
        <f>'[1]Иные межбюджетные трансферты'!AU24</f>
        <v>0</v>
      </c>
      <c r="TT26" s="899">
        <f t="shared" si="184"/>
        <v>0</v>
      </c>
      <c r="TU26" s="753"/>
      <c r="TV26" s="771"/>
      <c r="TW26" s="820">
        <f t="shared" si="185"/>
        <v>0</v>
      </c>
      <c r="TX26" s="820">
        <f t="shared" si="186"/>
        <v>0</v>
      </c>
      <c r="TY26" s="820">
        <f t="shared" si="187"/>
        <v>0</v>
      </c>
      <c r="TZ26" s="1199">
        <f t="shared" si="188"/>
        <v>0</v>
      </c>
      <c r="UA26" s="1134">
        <f t="shared" si="100"/>
        <v>0</v>
      </c>
      <c r="UB26" s="945">
        <f>'[1]Иные межбюджетные трансферты'!U24</f>
        <v>0</v>
      </c>
      <c r="UC26" s="1133">
        <f>'[1]Иные межбюджетные трансферты'!W24</f>
        <v>0</v>
      </c>
      <c r="UD26" s="734">
        <f t="shared" si="101"/>
        <v>0</v>
      </c>
      <c r="UE26" s="945"/>
      <c r="UF26" s="1133"/>
      <c r="UG26" s="734">
        <f t="shared" si="189"/>
        <v>0</v>
      </c>
      <c r="UH26" s="945">
        <f>'[1]Иные межбюджетные трансферты'!O24</f>
        <v>0</v>
      </c>
      <c r="UI26" s="1133">
        <f>'[1]Иные межбюджетные трансферты'!Q24</f>
        <v>0</v>
      </c>
      <c r="UJ26" s="1133">
        <f>'[1]Иные межбюджетные трансферты'!S24</f>
        <v>0</v>
      </c>
      <c r="UK26" s="734">
        <f t="shared" si="190"/>
        <v>0</v>
      </c>
      <c r="UL26" s="1513"/>
      <c r="UM26" s="1426"/>
      <c r="UN26" s="1624"/>
      <c r="UO26" s="1585">
        <f t="shared" si="191"/>
        <v>1854781.75</v>
      </c>
      <c r="UP26" s="833">
        <f>'[1]Иные межбюджетные трансферты'!E24</f>
        <v>0</v>
      </c>
      <c r="UQ26" s="880">
        <f>'[1]Иные межбюджетные трансферты'!G24</f>
        <v>0</v>
      </c>
      <c r="UR26" s="830">
        <f>'[1]Иные межбюджетные трансферты'!M24</f>
        <v>1127170</v>
      </c>
      <c r="US26" s="1044"/>
      <c r="UT26" s="1498">
        <f>'[1]Иные межбюджетные трансферты'!AY24</f>
        <v>0</v>
      </c>
      <c r="UU26" s="1539">
        <f>'[1]Иные межбюджетные трансферты'!BA24</f>
        <v>727611.75</v>
      </c>
      <c r="UV26" s="834">
        <f t="shared" si="192"/>
        <v>1086172.95</v>
      </c>
      <c r="UW26" s="908"/>
      <c r="UX26" s="906"/>
      <c r="UY26" s="1425">
        <v>358561.2</v>
      </c>
      <c r="UZ26" s="516"/>
      <c r="VA26" s="518">
        <f t="shared" si="102"/>
        <v>0</v>
      </c>
      <c r="VB26" s="516">
        <f t="shared" si="193"/>
        <v>727611.75</v>
      </c>
      <c r="VC26" s="899">
        <f t="shared" si="194"/>
        <v>2981368.75</v>
      </c>
      <c r="VD26" s="830">
        <f>'[1]Иные межбюджетные трансферты'!AM24</f>
        <v>0</v>
      </c>
      <c r="VE26" s="1587">
        <f>'[1]Иные межбюджетные трансферты'!BC24</f>
        <v>2981368.75</v>
      </c>
      <c r="VF26" s="1495">
        <f t="shared" si="195"/>
        <v>2981368.75</v>
      </c>
      <c r="VG26" s="753"/>
      <c r="VH26" s="1251">
        <f t="shared" si="196"/>
        <v>2981368.75</v>
      </c>
      <c r="VI26" s="1199">
        <f t="shared" si="197"/>
        <v>2981368.75</v>
      </c>
      <c r="VJ26" s="516">
        <f>'Проверочная  таблица'!VD26-VP26</f>
        <v>0</v>
      </c>
      <c r="VK26" s="516">
        <f>'Проверочная  таблица'!VE26-VQ26</f>
        <v>2981368.75</v>
      </c>
      <c r="VL26" s="1199">
        <f t="shared" si="198"/>
        <v>2981368.75</v>
      </c>
      <c r="VM26" s="516">
        <f>'Проверочная  таблица'!VG26-VS26</f>
        <v>0</v>
      </c>
      <c r="VN26" s="516">
        <f>'Проверочная  таблица'!VH26-VT26</f>
        <v>2981368.75</v>
      </c>
      <c r="VO26" s="1199">
        <f t="shared" si="199"/>
        <v>0</v>
      </c>
      <c r="VP26" s="833">
        <f>'[1]Иные межбюджетные трансферты'!AO24</f>
        <v>0</v>
      </c>
      <c r="VQ26" s="830">
        <f>'[1]Иные межбюджетные трансферты'!BE24</f>
        <v>0</v>
      </c>
      <c r="VR26" s="1501">
        <f t="shared" si="200"/>
        <v>0</v>
      </c>
      <c r="VS26" s="1492"/>
      <c r="VT26" s="518">
        <f t="shared" si="201"/>
        <v>0</v>
      </c>
      <c r="VU26" s="521">
        <f>VW26+'Проверочная  таблица'!WE26+WA26+'Проверочная  таблица'!WI26+WC26+'Проверочная  таблица'!WK26</f>
        <v>-250000</v>
      </c>
      <c r="VV26" s="521">
        <f>VX26+'Проверочная  таблица'!WF26+WB26+'Проверочная  таблица'!WJ26+WD26+'Проверочная  таблица'!WL26</f>
        <v>-250000</v>
      </c>
      <c r="VW26" s="533"/>
      <c r="VX26" s="533"/>
      <c r="VY26" s="533"/>
      <c r="VZ26" s="533"/>
      <c r="WA26" s="530">
        <f t="shared" si="103"/>
        <v>0</v>
      </c>
      <c r="WB26" s="528">
        <f t="shared" si="104"/>
        <v>0</v>
      </c>
      <c r="WC26" s="534"/>
      <c r="WD26" s="523"/>
      <c r="WE26" s="533"/>
      <c r="WF26" s="533"/>
      <c r="WG26" s="533">
        <v>-250000</v>
      </c>
      <c r="WH26" s="533">
        <v>-250000</v>
      </c>
      <c r="WI26" s="530">
        <f t="shared" si="105"/>
        <v>-250000</v>
      </c>
      <c r="WJ26" s="528">
        <f t="shared" si="106"/>
        <v>-250000</v>
      </c>
      <c r="WK26" s="523"/>
      <c r="WL26" s="523"/>
      <c r="WM26" s="252">
        <f>'Проверочная  таблица'!WE26+'Проверочная  таблица'!WG26</f>
        <v>-250000</v>
      </c>
      <c r="WN26" s="252">
        <f>'Проверочная  таблица'!WF26+'Проверочная  таблица'!WH26</f>
        <v>-250000</v>
      </c>
      <c r="WO26" s="1042"/>
    </row>
    <row r="27" spans="1:613" s="338" customFormat="1" ht="25.5" customHeight="1" x14ac:dyDescent="0.25">
      <c r="A27" s="347" t="s">
        <v>94</v>
      </c>
      <c r="B27" s="526">
        <f>D27+AI27+'Проверочная  таблица'!RA27+'Проверочная  таблица'!SK27</f>
        <v>958985875.61000001</v>
      </c>
      <c r="C27" s="521">
        <f>E27+'Проверочная  таблица'!RD27+AJ27+'Проверочная  таблица'!SL27</f>
        <v>737399571.73000014</v>
      </c>
      <c r="D27" s="524">
        <f t="shared" si="0"/>
        <v>265284676</v>
      </c>
      <c r="E27" s="526">
        <f t="shared" si="1"/>
        <v>214514527.43000001</v>
      </c>
      <c r="F27" s="581">
        <f>'[1]Дотация  из  ОБ_факт'!M23</f>
        <v>94501200</v>
      </c>
      <c r="G27" s="963">
        <v>76782225</v>
      </c>
      <c r="H27" s="581">
        <f>'[1]Дотация  из  ОБ_факт'!G23</f>
        <v>108600680</v>
      </c>
      <c r="I27" s="963">
        <v>83596558.230000004</v>
      </c>
      <c r="J27" s="582">
        <f t="shared" si="2"/>
        <v>71450680</v>
      </c>
      <c r="K27" s="588">
        <f t="shared" si="3"/>
        <v>55734058.530000001</v>
      </c>
      <c r="L27" s="835">
        <f>'[1]Дотация  из  ОБ_факт'!K23</f>
        <v>37150000</v>
      </c>
      <c r="M27" s="1446">
        <v>27862499.699999999</v>
      </c>
      <c r="N27" s="581">
        <f>'[1]Дотация  из  ОБ_факт'!Q23</f>
        <v>17939770</v>
      </c>
      <c r="O27" s="963">
        <v>15797713</v>
      </c>
      <c r="P27" s="581">
        <f>'[1]Дотация  из  ОБ_факт'!S23</f>
        <v>38887780.000000007</v>
      </c>
      <c r="Q27" s="1442">
        <v>32982785.199999999</v>
      </c>
      <c r="R27" s="588">
        <f t="shared" si="4"/>
        <v>32164996.000000007</v>
      </c>
      <c r="S27" s="583">
        <f t="shared" si="5"/>
        <v>26740046.799999997</v>
      </c>
      <c r="T27" s="835">
        <f>'[1]Дотация  из  ОБ_факт'!W23</f>
        <v>6722784.0000000009</v>
      </c>
      <c r="U27" s="1448">
        <v>6242738.4000000004</v>
      </c>
      <c r="V27" s="581">
        <f>'[1]Дотация  из  ОБ_факт'!AA23+'[1]Дотация  из  ОБ_факт'!AC23+'[1]Дотация  из  ОБ_факт'!AG23</f>
        <v>5100246</v>
      </c>
      <c r="W27" s="461">
        <f t="shared" si="6"/>
        <v>5100246</v>
      </c>
      <c r="X27" s="585">
        <v>1500000</v>
      </c>
      <c r="Y27" s="584">
        <v>1700000</v>
      </c>
      <c r="Z27" s="585">
        <v>1900246</v>
      </c>
      <c r="AA27" s="581">
        <f>'[1]Дотация  из  ОБ_факт'!Y23+'[1]Дотация  из  ОБ_факт'!AE23</f>
        <v>255000</v>
      </c>
      <c r="AB27" s="172">
        <f t="shared" si="7"/>
        <v>255000</v>
      </c>
      <c r="AC27" s="584">
        <v>255000</v>
      </c>
      <c r="AD27" s="585"/>
      <c r="AE27" s="582">
        <f t="shared" si="8"/>
        <v>255000</v>
      </c>
      <c r="AF27" s="588">
        <f t="shared" si="9"/>
        <v>255000</v>
      </c>
      <c r="AG27" s="1187">
        <f>'[1]Дотация  из  ОБ_факт'!AE23</f>
        <v>0</v>
      </c>
      <c r="AH27" s="1480">
        <f t="shared" si="107"/>
        <v>0</v>
      </c>
      <c r="AI27" s="579">
        <f>'Проверочная  таблица'!KW27+'Проверочная  таблица'!QS27+'Проверочная  таблица'!QU27+CS27+CU27+DA27+DC27+BU27+CE27+'Проверочная  таблица'!IQ27+'Проверочная  таблица'!JK27+'Проверочная  таблица'!EE27+'Проверочная  таблица'!KO27+DQ27+'Проверочная  таблица'!HQ27+'Проверочная  таблица'!HW27+'Проверочная  таблица'!LA27+'Проверочная  таблица'!LI27+HK27+FQ27+FE27+NK27+EY27+AK27+AW27+FK27+GM27+GS27+DI27+NQ27+FW27+EK27+OE27+MG27+GG27+PU27+QA27</f>
        <v>95239140.730000004</v>
      </c>
      <c r="AJ27" s="498">
        <f>'Проверочная  таблица'!KY27+'Проверочная  таблица'!QT27+'Проверочная  таблица'!QV27+CT27+CV27+DB27+DD27+BZ27+CJ27+'Проверочная  таблица'!JA27+'Проверочная  таблица'!JP27+'Проверочная  таблица'!EH27+'Проверочная  таблица'!KS27+DX27+'Проверочная  таблица'!HT27+'Проверочная  таблица'!HZ27+'Проверочная  таблица'!LE27+'Проверочная  таблица'!LM27+HN27+FN27+FT27+FH27+NN27+FB27+AQ27+BA27+GP27+GV27+DM27+NX27+FZ27+ER27+OL27+ML27+GJ27+PX27+QD27</f>
        <v>67343475.459999993</v>
      </c>
      <c r="AK27" s="466">
        <f t="shared" si="108"/>
        <v>0</v>
      </c>
      <c r="AL27" s="525">
        <f>[1]Субсидия_факт!CD25</f>
        <v>0</v>
      </c>
      <c r="AM27" s="508">
        <f>[1]Субсидия_факт!EX25</f>
        <v>0</v>
      </c>
      <c r="AN27" s="506">
        <f>[1]Субсидия_факт!FJ25</f>
        <v>0</v>
      </c>
      <c r="AO27" s="525">
        <f>[1]Субсидия_факт!LT25</f>
        <v>0</v>
      </c>
      <c r="AP27" s="622">
        <f>[1]Субсидия_факт!LZ25</f>
        <v>0</v>
      </c>
      <c r="AQ27" s="748">
        <f t="shared" si="109"/>
        <v>0</v>
      </c>
      <c r="AR27" s="474"/>
      <c r="AS27" s="474"/>
      <c r="AT27" s="474"/>
      <c r="AU27" s="474"/>
      <c r="AV27" s="531"/>
      <c r="AW27" s="498">
        <f t="shared" si="10"/>
        <v>0</v>
      </c>
      <c r="AX27" s="525">
        <f>[1]Субсидия_факт!CF25</f>
        <v>0</v>
      </c>
      <c r="AY27" s="508">
        <f>[1]Субсидия_факт!FB25</f>
        <v>0</v>
      </c>
      <c r="AZ27" s="646">
        <f>[1]Субсидия_факт!LV25</f>
        <v>0</v>
      </c>
      <c r="BA27" s="466">
        <f t="shared" si="11"/>
        <v>0</v>
      </c>
      <c r="BB27" s="531"/>
      <c r="BC27" s="531"/>
      <c r="BD27" s="532"/>
      <c r="BE27" s="669">
        <f t="shared" si="12"/>
        <v>0</v>
      </c>
      <c r="BF27" s="652">
        <f t="shared" si="13"/>
        <v>0</v>
      </c>
      <c r="BG27" s="464">
        <f t="shared" si="14"/>
        <v>0</v>
      </c>
      <c r="BH27" s="341">
        <f t="shared" si="15"/>
        <v>0</v>
      </c>
      <c r="BI27" s="669">
        <f t="shared" si="16"/>
        <v>0</v>
      </c>
      <c r="BJ27" s="622">
        <f t="shared" si="17"/>
        <v>0</v>
      </c>
      <c r="BK27" s="506">
        <f t="shared" si="18"/>
        <v>0</v>
      </c>
      <c r="BL27" s="341">
        <f t="shared" si="19"/>
        <v>0</v>
      </c>
      <c r="BM27" s="667">
        <f t="shared" si="20"/>
        <v>0</v>
      </c>
      <c r="BN27" s="525">
        <f>[1]Субсидия_факт!CH25</f>
        <v>0</v>
      </c>
      <c r="BO27" s="508">
        <f>[1]Субсидия_факт!FD25</f>
        <v>0</v>
      </c>
      <c r="BP27" s="646">
        <f>[1]Субсидия_факт!LX25</f>
        <v>0</v>
      </c>
      <c r="BQ27" s="669">
        <f t="shared" si="21"/>
        <v>0</v>
      </c>
      <c r="BR27" s="532"/>
      <c r="BS27" s="531"/>
      <c r="BT27" s="532"/>
      <c r="BU27" s="521">
        <f t="shared" si="110"/>
        <v>21080769.829999998</v>
      </c>
      <c r="BV27" s="562">
        <f>[1]Субсидия_факт!HB25</f>
        <v>0</v>
      </c>
      <c r="BW27" s="516">
        <f>[1]Субсидия_факт!HH25</f>
        <v>21080769.829999998</v>
      </c>
      <c r="BX27" s="531">
        <f>[1]Субсидия_факт!HP25</f>
        <v>0</v>
      </c>
      <c r="BY27" s="562">
        <f>[1]Субсидия_факт!HV25</f>
        <v>0</v>
      </c>
      <c r="BZ27" s="521">
        <f t="shared" si="111"/>
        <v>21067475.260000002</v>
      </c>
      <c r="CA27" s="531"/>
      <c r="CB27" s="531">
        <v>21067475.260000002</v>
      </c>
      <c r="CC27" s="625"/>
      <c r="CD27" s="625"/>
      <c r="CE27" s="526">
        <f t="shared" si="112"/>
        <v>19983160.960000001</v>
      </c>
      <c r="CF27" s="525">
        <f>[1]Субсидия_факт!HD25</f>
        <v>0</v>
      </c>
      <c r="CG27" s="525">
        <f>[1]Субсидия_факт!HJ25</f>
        <v>19983160.960000001</v>
      </c>
      <c r="CH27" s="531">
        <f>[1]Субсидия_факт!HR25</f>
        <v>0</v>
      </c>
      <c r="CI27" s="646">
        <f>[1]Субсидия_факт!HX25</f>
        <v>0</v>
      </c>
      <c r="CJ27" s="521">
        <f t="shared" si="113"/>
        <v>11390884.609999999</v>
      </c>
      <c r="CK27" s="531"/>
      <c r="CL27" s="532">
        <v>11390884.609999999</v>
      </c>
      <c r="CM27" s="625"/>
      <c r="CN27" s="724"/>
      <c r="CO27" s="530">
        <f t="shared" si="22"/>
        <v>0</v>
      </c>
      <c r="CP27" s="528">
        <f t="shared" si="23"/>
        <v>0</v>
      </c>
      <c r="CQ27" s="527">
        <f t="shared" si="114"/>
        <v>19983160.960000001</v>
      </c>
      <c r="CR27" s="530">
        <f t="shared" si="115"/>
        <v>11390884.609999999</v>
      </c>
      <c r="CS27" s="521">
        <f>[1]Субсидия_факт!FL25</f>
        <v>0</v>
      </c>
      <c r="CT27" s="620"/>
      <c r="CU27" s="521">
        <f>[1]Субсидия_факт!FN25</f>
        <v>9593742.9600000009</v>
      </c>
      <c r="CV27" s="620">
        <v>9081317.5199999996</v>
      </c>
      <c r="CW27" s="528">
        <f t="shared" si="24"/>
        <v>0</v>
      </c>
      <c r="CX27" s="527">
        <f t="shared" si="25"/>
        <v>0</v>
      </c>
      <c r="CY27" s="587">
        <f>[1]Субсидия_факт!FP25</f>
        <v>9593742.9600000009</v>
      </c>
      <c r="CZ27" s="1480">
        <f t="shared" si="205"/>
        <v>9081317.5199999996</v>
      </c>
      <c r="DA27" s="526">
        <f>[1]Субсидия_факт!FR25</f>
        <v>0</v>
      </c>
      <c r="DB27" s="339"/>
      <c r="DC27" s="524">
        <f>[1]Субсидия_факт!FT25</f>
        <v>403947.07</v>
      </c>
      <c r="DD27" s="339">
        <v>382371.26</v>
      </c>
      <c r="DE27" s="1238">
        <f t="shared" si="26"/>
        <v>0</v>
      </c>
      <c r="DF27" s="528">
        <f t="shared" si="27"/>
        <v>0</v>
      </c>
      <c r="DG27" s="663">
        <f>[1]Субсидия_факт!FV25</f>
        <v>403947.07</v>
      </c>
      <c r="DH27" s="1478">
        <f t="shared" si="116"/>
        <v>382371.26</v>
      </c>
      <c r="DI27" s="498">
        <f t="shared" si="117"/>
        <v>0</v>
      </c>
      <c r="DJ27" s="625">
        <f>[1]Субсидия_факт!EV25</f>
        <v>0</v>
      </c>
      <c r="DK27" s="516">
        <f>[1]Субсидия_факт!EL25</f>
        <v>0</v>
      </c>
      <c r="DL27" s="838">
        <f>[1]Субсидия_факт!EN25</f>
        <v>0</v>
      </c>
      <c r="DM27" s="466">
        <f t="shared" si="118"/>
        <v>0</v>
      </c>
      <c r="DN27" s="625"/>
      <c r="DO27" s="625"/>
      <c r="DP27" s="987"/>
      <c r="DQ27" s="526">
        <f t="shared" si="28"/>
        <v>2908444.44</v>
      </c>
      <c r="DR27" s="508">
        <f>[1]Субсидия_факт!N25</f>
        <v>1408444.44</v>
      </c>
      <c r="DS27" s="652">
        <f>[1]Субсидия_факт!P25</f>
        <v>0</v>
      </c>
      <c r="DT27" s="682">
        <f>[1]Субсидия_факт!R25</f>
        <v>0</v>
      </c>
      <c r="DU27" s="506">
        <f>[1]Субсидия_факт!T25</f>
        <v>0</v>
      </c>
      <c r="DV27" s="689">
        <f>[1]Субсидия_факт!V25</f>
        <v>0</v>
      </c>
      <c r="DW27" s="506">
        <f>[1]Субсидия_факт!X25</f>
        <v>1500000</v>
      </c>
      <c r="DX27" s="521">
        <f t="shared" si="29"/>
        <v>2251041.64</v>
      </c>
      <c r="DY27" s="532">
        <v>1269677.02</v>
      </c>
      <c r="DZ27" s="531"/>
      <c r="EA27" s="686"/>
      <c r="EB27" s="531"/>
      <c r="EC27" s="686"/>
      <c r="ED27" s="531">
        <v>981364.62</v>
      </c>
      <c r="EE27" s="498">
        <f t="shared" si="30"/>
        <v>2827053</v>
      </c>
      <c r="EF27" s="516">
        <f>[1]Субсидия_факт!BL25</f>
        <v>141353</v>
      </c>
      <c r="EG27" s="838">
        <f>[1]Субсидия_факт!BN25</f>
        <v>2685700</v>
      </c>
      <c r="EH27" s="466">
        <f t="shared" si="31"/>
        <v>2827053</v>
      </c>
      <c r="EI27" s="772">
        <v>141353.01</v>
      </c>
      <c r="EJ27" s="987">
        <v>2685699.99</v>
      </c>
      <c r="EK27" s="526">
        <f t="shared" si="32"/>
        <v>0</v>
      </c>
      <c r="EL27" s="525">
        <f>[1]Субсидия_факт!AF25</f>
        <v>0</v>
      </c>
      <c r="EM27" s="689">
        <f>[1]Субсидия_факт!AH25</f>
        <v>0</v>
      </c>
      <c r="EN27" s="506">
        <f>[1]Субсидия_факт!AJ25</f>
        <v>0</v>
      </c>
      <c r="EO27" s="866">
        <f>[1]Субсидия_факт!AL25</f>
        <v>0</v>
      </c>
      <c r="EP27" s="622">
        <f>[1]Субсидия_факт!AN25</f>
        <v>0</v>
      </c>
      <c r="EQ27" s="712">
        <f>[1]Субсидия_факт!AP25</f>
        <v>0</v>
      </c>
      <c r="ER27" s="521">
        <f t="shared" si="33"/>
        <v>0</v>
      </c>
      <c r="ES27" s="474"/>
      <c r="ET27" s="686"/>
      <c r="EU27" s="474"/>
      <c r="EV27" s="686"/>
      <c r="EW27" s="474"/>
      <c r="EX27" s="686"/>
      <c r="EY27" s="498">
        <f t="shared" si="34"/>
        <v>0</v>
      </c>
      <c r="EZ27" s="516">
        <f>[1]Субсидия_факт!AV25</f>
        <v>0</v>
      </c>
      <c r="FA27" s="752">
        <f>[1]Субсидия_факт!AX25</f>
        <v>0</v>
      </c>
      <c r="FB27" s="466">
        <f t="shared" si="35"/>
        <v>0</v>
      </c>
      <c r="FC27" s="772"/>
      <c r="FD27" s="678"/>
      <c r="FE27" s="498">
        <f t="shared" si="36"/>
        <v>0</v>
      </c>
      <c r="FF27" s="516">
        <f>[1]Субсидия_факт!BT25</f>
        <v>0</v>
      </c>
      <c r="FG27" s="838">
        <f>[1]Субсидия_факт!BV25</f>
        <v>0</v>
      </c>
      <c r="FH27" s="466">
        <f t="shared" si="37"/>
        <v>0</v>
      </c>
      <c r="FI27" s="772"/>
      <c r="FJ27" s="678"/>
      <c r="FK27" s="498">
        <f t="shared" si="38"/>
        <v>0</v>
      </c>
      <c r="FL27" s="516">
        <f>[1]Субсидия_факт!BP25</f>
        <v>0</v>
      </c>
      <c r="FM27" s="838">
        <f>[1]Субсидия_факт!BR25</f>
        <v>0</v>
      </c>
      <c r="FN27" s="466">
        <f t="shared" si="39"/>
        <v>0</v>
      </c>
      <c r="FO27" s="772"/>
      <c r="FP27" s="678"/>
      <c r="FQ27" s="498">
        <f t="shared" si="40"/>
        <v>0</v>
      </c>
      <c r="FR27" s="516">
        <f>[1]Субсидия_факт!IV25</f>
        <v>0</v>
      </c>
      <c r="FS27" s="838">
        <f>[1]Субсидия_факт!IX25</f>
        <v>0</v>
      </c>
      <c r="FT27" s="466">
        <f t="shared" si="41"/>
        <v>0</v>
      </c>
      <c r="FU27" s="772"/>
      <c r="FV27" s="678"/>
      <c r="FW27" s="498">
        <f t="shared" si="42"/>
        <v>0</v>
      </c>
      <c r="FX27" s="516">
        <f>[1]Субсидия_факт!IZ25</f>
        <v>0</v>
      </c>
      <c r="FY27" s="838">
        <f>[1]Субсидия_факт!JD25</f>
        <v>0</v>
      </c>
      <c r="FZ27" s="466">
        <f t="shared" si="43"/>
        <v>0</v>
      </c>
      <c r="GA27" s="772"/>
      <c r="GB27" s="678"/>
      <c r="GC27" s="667">
        <f t="shared" si="119"/>
        <v>0</v>
      </c>
      <c r="GD27" s="669">
        <f t="shared" si="120"/>
        <v>0</v>
      </c>
      <c r="GE27" s="667">
        <f t="shared" si="121"/>
        <v>0</v>
      </c>
      <c r="GF27" s="669">
        <f t="shared" si="122"/>
        <v>0</v>
      </c>
      <c r="GG27" s="498">
        <f t="shared" si="123"/>
        <v>0</v>
      </c>
      <c r="GH27" s="1251">
        <f>[1]Субсидия_факт!BH25</f>
        <v>0</v>
      </c>
      <c r="GI27" s="676">
        <f>[1]Субсидия_факт!BJ25</f>
        <v>0</v>
      </c>
      <c r="GJ27" s="498">
        <f t="shared" si="124"/>
        <v>0</v>
      </c>
      <c r="GK27" s="724"/>
      <c r="GL27" s="678"/>
      <c r="GM27" s="498">
        <f t="shared" si="44"/>
        <v>0</v>
      </c>
      <c r="GN27" s="516"/>
      <c r="GO27" s="838"/>
      <c r="GP27" s="466">
        <f t="shared" si="45"/>
        <v>0</v>
      </c>
      <c r="GQ27" s="724"/>
      <c r="GR27" s="678"/>
      <c r="GS27" s="498">
        <f t="shared" si="46"/>
        <v>0</v>
      </c>
      <c r="GT27" s="516">
        <f>[1]Субсидия_факт!FZ25</f>
        <v>0</v>
      </c>
      <c r="GU27" s="838">
        <f>[1]Субсидия_факт!GD25</f>
        <v>0</v>
      </c>
      <c r="GV27" s="466">
        <f t="shared" si="47"/>
        <v>0</v>
      </c>
      <c r="GW27" s="724"/>
      <c r="GX27" s="678"/>
      <c r="GY27" s="667">
        <f t="shared" si="48"/>
        <v>0</v>
      </c>
      <c r="GZ27" s="516">
        <f t="shared" si="125"/>
        <v>0</v>
      </c>
      <c r="HA27" s="838">
        <f t="shared" si="125"/>
        <v>0</v>
      </c>
      <c r="HB27" s="669">
        <f t="shared" si="49"/>
        <v>0</v>
      </c>
      <c r="HC27" s="516">
        <f t="shared" si="125"/>
        <v>0</v>
      </c>
      <c r="HD27" s="838">
        <f t="shared" si="125"/>
        <v>0</v>
      </c>
      <c r="HE27" s="667">
        <f t="shared" si="50"/>
        <v>0</v>
      </c>
      <c r="HF27" s="516">
        <f>[1]Субсидия_факт!GB25</f>
        <v>0</v>
      </c>
      <c r="HG27" s="838">
        <f>[1]Субсидия_факт!GF25</f>
        <v>0</v>
      </c>
      <c r="HH27" s="669">
        <f t="shared" si="51"/>
        <v>0</v>
      </c>
      <c r="HI27" s="724"/>
      <c r="HJ27" s="678"/>
      <c r="HK27" s="526">
        <f t="shared" si="126"/>
        <v>0</v>
      </c>
      <c r="HL27" s="518">
        <f>[1]Субсидия_факт!DD25</f>
        <v>0</v>
      </c>
      <c r="HM27" s="752">
        <f>[1]Субсидия_факт!DF25</f>
        <v>0</v>
      </c>
      <c r="HN27" s="521">
        <f t="shared" si="127"/>
        <v>0</v>
      </c>
      <c r="HO27" s="531"/>
      <c r="HP27" s="706"/>
      <c r="HQ27" s="579">
        <f t="shared" si="54"/>
        <v>2252173.64</v>
      </c>
      <c r="HR27" s="516">
        <f>[1]Субсидия_факт!CR25</f>
        <v>630608.66</v>
      </c>
      <c r="HS27" s="838">
        <f>[1]Субсидия_факт!CX25</f>
        <v>1621564.98</v>
      </c>
      <c r="HT27" s="466">
        <f t="shared" si="55"/>
        <v>2252173.64</v>
      </c>
      <c r="HU27" s="1251">
        <f t="shared" si="212"/>
        <v>630608.66</v>
      </c>
      <c r="HV27" s="1519">
        <f t="shared" si="212"/>
        <v>1621564.98</v>
      </c>
      <c r="HW27" s="466">
        <f t="shared" si="56"/>
        <v>1290060.9000000001</v>
      </c>
      <c r="HX27" s="516">
        <f>[1]Субсидия_факт!CT25</f>
        <v>361217.08</v>
      </c>
      <c r="HY27" s="752">
        <f>[1]Субсидия_факт!CZ25</f>
        <v>928843.82000000007</v>
      </c>
      <c r="HZ27" s="466">
        <f t="shared" si="57"/>
        <v>1290060.8999999999</v>
      </c>
      <c r="IA27" s="757">
        <f t="shared" si="128"/>
        <v>361217.07999999996</v>
      </c>
      <c r="IB27" s="789">
        <f t="shared" si="129"/>
        <v>928843.81999999983</v>
      </c>
      <c r="IC27" s="625">
        <v>991825.74</v>
      </c>
      <c r="ID27" s="709">
        <v>2550408.7999999998</v>
      </c>
      <c r="IE27" s="669">
        <f t="shared" si="58"/>
        <v>727017.49000000011</v>
      </c>
      <c r="IF27" s="750">
        <f>'Проверочная  таблица'!HX27-'Проверочная  таблица'!IL27</f>
        <v>203564.91</v>
      </c>
      <c r="IG27" s="676">
        <f>'Проверочная  таблица'!HY27-'Проверочная  таблица'!IM27</f>
        <v>523452.58000000007</v>
      </c>
      <c r="IH27" s="663">
        <f t="shared" si="59"/>
        <v>727017.48999999976</v>
      </c>
      <c r="II27" s="757">
        <f>'Проверочная  таблица'!IA27-'Проверочная  таблица'!IO27</f>
        <v>203564.90999999995</v>
      </c>
      <c r="IJ27" s="768">
        <f>'Проверочная  таблица'!IB27-'Проверочная  таблица'!IP27</f>
        <v>523452.57999999984</v>
      </c>
      <c r="IK27" s="669">
        <f t="shared" si="60"/>
        <v>563043.41</v>
      </c>
      <c r="IL27" s="516">
        <f>[1]Субсидия_факт!CV25</f>
        <v>157652.17000000001</v>
      </c>
      <c r="IM27" s="838">
        <f>[1]Субсидия_факт!DB25</f>
        <v>405391.24</v>
      </c>
      <c r="IN27" s="669">
        <f t="shared" si="61"/>
        <v>563043.41</v>
      </c>
      <c r="IO27" s="1251">
        <f>IL27</f>
        <v>157652.17000000001</v>
      </c>
      <c r="IP27" s="676">
        <f>IM27</f>
        <v>405391.24</v>
      </c>
      <c r="IQ27" s="466">
        <f t="shared" si="130"/>
        <v>0</v>
      </c>
      <c r="IR27" s="757">
        <f>[1]Субсидия_факт!CJ25</f>
        <v>0</v>
      </c>
      <c r="IS27" s="676">
        <f>[1]Субсидия_факт!CN25</f>
        <v>0</v>
      </c>
      <c r="IT27" s="757">
        <f>[1]Субсидия_факт!DH25</f>
        <v>0</v>
      </c>
      <c r="IU27" s="676">
        <f>[1]Субсидия_факт!DN25</f>
        <v>0</v>
      </c>
      <c r="IV27" s="525">
        <f>[1]Субсидия_факт!DX25</f>
        <v>0</v>
      </c>
      <c r="IW27" s="689">
        <f>[1]Субсидия_факт!DZ25</f>
        <v>0</v>
      </c>
      <c r="IX27" s="1295">
        <f>[1]Субсидия_факт!DT25</f>
        <v>0</v>
      </c>
      <c r="IY27" s="676">
        <f>[1]Субсидия_факт!DV25</f>
        <v>0</v>
      </c>
      <c r="IZ27" s="516">
        <f>[1]Субсидия_факт!EB25</f>
        <v>0</v>
      </c>
      <c r="JA27" s="466">
        <f t="shared" si="131"/>
        <v>0</v>
      </c>
      <c r="JB27" s="625"/>
      <c r="JC27" s="678"/>
      <c r="JD27" s="625"/>
      <c r="JE27" s="678"/>
      <c r="JF27" s="531"/>
      <c r="JG27" s="706"/>
      <c r="JH27" s="625"/>
      <c r="JI27" s="678"/>
      <c r="JJ27" s="757">
        <f t="shared" si="132"/>
        <v>0</v>
      </c>
      <c r="JK27" s="748">
        <f t="shared" si="133"/>
        <v>0</v>
      </c>
      <c r="JL27" s="757">
        <f>[1]Субсидия_факт!CL25</f>
        <v>0</v>
      </c>
      <c r="JM27" s="676">
        <f>[1]Субсидия_факт!CP25</f>
        <v>0</v>
      </c>
      <c r="JN27" s="757">
        <f>[1]Субсидия_факт!DJ25</f>
        <v>0</v>
      </c>
      <c r="JO27" s="676">
        <f>[1]Субсидия_факт!DP25</f>
        <v>0</v>
      </c>
      <c r="JP27" s="748">
        <f t="shared" si="134"/>
        <v>0</v>
      </c>
      <c r="JQ27" s="625"/>
      <c r="JR27" s="678"/>
      <c r="JS27" s="625"/>
      <c r="JT27" s="678"/>
      <c r="JU27" s="587">
        <f t="shared" si="135"/>
        <v>0</v>
      </c>
      <c r="JV27" s="757">
        <f>'Проверочная  таблица'!JL27-KF27</f>
        <v>0</v>
      </c>
      <c r="JW27" s="676">
        <f>'Проверочная  таблица'!JM27-KG27</f>
        <v>0</v>
      </c>
      <c r="JX27" s="757">
        <f>'Проверочная  таблица'!JN27-KH27</f>
        <v>0</v>
      </c>
      <c r="JY27" s="676">
        <f>'Проверочная  таблица'!JO27-KI27</f>
        <v>0</v>
      </c>
      <c r="JZ27" s="587">
        <f t="shared" si="136"/>
        <v>0</v>
      </c>
      <c r="KA27" s="757">
        <f>'Проверочная  таблица'!JQ27-KK27</f>
        <v>0</v>
      </c>
      <c r="KB27" s="676">
        <f>'Проверочная  таблица'!JR27-KL27</f>
        <v>0</v>
      </c>
      <c r="KC27" s="757">
        <f>'Проверочная  таблица'!JS27-KM27</f>
        <v>0</v>
      </c>
      <c r="KD27" s="789">
        <f>'Проверочная  таблица'!JT27-KN27</f>
        <v>0</v>
      </c>
      <c r="KE27" s="587">
        <f t="shared" si="137"/>
        <v>0</v>
      </c>
      <c r="KF27" s="625"/>
      <c r="KG27" s="678"/>
      <c r="KH27" s="757">
        <f>[1]Субсидия_факт!DL25</f>
        <v>0</v>
      </c>
      <c r="KI27" s="1519">
        <f>[1]Субсидия_факт!DR25</f>
        <v>0</v>
      </c>
      <c r="KJ27" s="587">
        <f t="shared" si="138"/>
        <v>0</v>
      </c>
      <c r="KK27" s="753"/>
      <c r="KL27" s="678"/>
      <c r="KM27" s="625"/>
      <c r="KN27" s="678"/>
      <c r="KO27" s="579">
        <f t="shared" si="139"/>
        <v>0</v>
      </c>
      <c r="KP27" s="516">
        <f>[1]Субсидия_факт!BX25</f>
        <v>0</v>
      </c>
      <c r="KQ27" s="838">
        <f>[1]Субсидия_факт!BZ25</f>
        <v>0</v>
      </c>
      <c r="KR27" s="516">
        <f>[1]Субсидия_факт!CB25</f>
        <v>0</v>
      </c>
      <c r="KS27" s="466">
        <f t="shared" si="140"/>
        <v>0</v>
      </c>
      <c r="KT27" s="625"/>
      <c r="KU27" s="678"/>
      <c r="KV27" s="625"/>
      <c r="KW27" s="498">
        <f t="shared" si="62"/>
        <v>0</v>
      </c>
      <c r="KX27" s="508">
        <f>[1]Субсидия_факт!GN25</f>
        <v>0</v>
      </c>
      <c r="KY27" s="466">
        <f t="shared" si="63"/>
        <v>0</v>
      </c>
      <c r="KZ27" s="625"/>
      <c r="LA27" s="754">
        <f t="shared" si="206"/>
        <v>0</v>
      </c>
      <c r="LB27" s="516">
        <f>[1]Субсидия_факт!JT25</f>
        <v>0</v>
      </c>
      <c r="LC27" s="838">
        <f>[1]Субсидия_факт!JZ25</f>
        <v>0</v>
      </c>
      <c r="LD27" s="508"/>
      <c r="LE27" s="754">
        <f t="shared" si="207"/>
        <v>0</v>
      </c>
      <c r="LF27" s="772"/>
      <c r="LG27" s="678"/>
      <c r="LH27" s="625"/>
      <c r="LI27" s="754">
        <f t="shared" si="141"/>
        <v>21891156.640000001</v>
      </c>
      <c r="LJ27" s="516">
        <f>[1]Субсидия_факт!JV25</f>
        <v>870000</v>
      </c>
      <c r="LK27" s="838">
        <f>[1]Субсидия_факт!KB25</f>
        <v>16530000</v>
      </c>
      <c r="LL27" s="518">
        <f>[1]Субсидия_факт!KF25</f>
        <v>4491156.6400000006</v>
      </c>
      <c r="LM27" s="754">
        <f t="shared" si="142"/>
        <v>9369003.0600000005</v>
      </c>
      <c r="LN27" s="625">
        <v>468450.15</v>
      </c>
      <c r="LO27" s="771">
        <v>8900552.9100000001</v>
      </c>
      <c r="LP27" s="625"/>
      <c r="LQ27" s="756">
        <f t="shared" si="143"/>
        <v>4491156.6400000006</v>
      </c>
      <c r="LR27" s="652">
        <f>'Проверочная  таблица'!LJ27-LZ27</f>
        <v>0</v>
      </c>
      <c r="LS27" s="682">
        <f>'Проверочная  таблица'!LK27-MA27</f>
        <v>0</v>
      </c>
      <c r="LT27" s="622">
        <f>'Проверочная  таблица'!LL27-MB27</f>
        <v>4491156.6400000006</v>
      </c>
      <c r="LU27" s="756">
        <f t="shared" si="144"/>
        <v>0</v>
      </c>
      <c r="LV27" s="750">
        <f>'Проверочная  таблица'!LN27-MD27</f>
        <v>0</v>
      </c>
      <c r="LW27" s="676">
        <f>'Проверочная  таблица'!LO27-ME27</f>
        <v>0</v>
      </c>
      <c r="LX27" s="757">
        <f>'Проверочная  таблица'!LP27-MF27</f>
        <v>0</v>
      </c>
      <c r="LY27" s="756">
        <f t="shared" si="145"/>
        <v>17400000</v>
      </c>
      <c r="LZ27" s="516">
        <f>[1]Субсидия_факт!JX25</f>
        <v>870000</v>
      </c>
      <c r="MA27" s="838">
        <f>[1]Субсидия_факт!KD25</f>
        <v>16530000</v>
      </c>
      <c r="MB27" s="516">
        <f>[1]Субсидия_факт!KH25</f>
        <v>0</v>
      </c>
      <c r="MC27" s="756">
        <f t="shared" si="146"/>
        <v>9369003.0600000005</v>
      </c>
      <c r="MD27" s="750">
        <f t="shared" si="203"/>
        <v>468450.15</v>
      </c>
      <c r="ME27" s="676">
        <f t="shared" si="204"/>
        <v>8900552.9100000001</v>
      </c>
      <c r="MF27" s="516"/>
      <c r="MG27" s="521">
        <f t="shared" si="147"/>
        <v>940050.14</v>
      </c>
      <c r="MH27" s="652">
        <f>[1]Субсидия_факт!KR25</f>
        <v>47002.5</v>
      </c>
      <c r="MI27" s="682">
        <f>[1]Субсидия_факт!KV25</f>
        <v>893047.64</v>
      </c>
      <c r="MJ27" s="750">
        <f>[1]Субсидия_факт!KZ25</f>
        <v>0</v>
      </c>
      <c r="MK27" s="1519">
        <f>[1]Субсидия_факт!LD25</f>
        <v>0</v>
      </c>
      <c r="ML27" s="521">
        <f t="shared" si="148"/>
        <v>491822.96</v>
      </c>
      <c r="MM27" s="1609">
        <v>24591.15</v>
      </c>
      <c r="MN27" s="706">
        <v>467231.81</v>
      </c>
      <c r="MO27" s="342"/>
      <c r="MP27" s="770"/>
      <c r="MQ27" s="587">
        <f t="shared" si="149"/>
        <v>940050.14</v>
      </c>
      <c r="MR27" s="1613">
        <f t="shared" si="64"/>
        <v>47002.5</v>
      </c>
      <c r="MS27" s="682">
        <f t="shared" si="65"/>
        <v>893047.64</v>
      </c>
      <c r="MT27" s="487">
        <f t="shared" si="66"/>
        <v>0</v>
      </c>
      <c r="MU27" s="682">
        <f t="shared" si="67"/>
        <v>0</v>
      </c>
      <c r="MV27" s="587">
        <f t="shared" si="150"/>
        <v>491822.96</v>
      </c>
      <c r="MW27" s="487">
        <f t="shared" si="68"/>
        <v>24591.15</v>
      </c>
      <c r="MX27" s="682">
        <f t="shared" si="69"/>
        <v>467231.81</v>
      </c>
      <c r="MY27" s="487">
        <f t="shared" si="70"/>
        <v>0</v>
      </c>
      <c r="MZ27" s="682">
        <f t="shared" si="71"/>
        <v>0</v>
      </c>
      <c r="NA27" s="587">
        <f t="shared" si="151"/>
        <v>0</v>
      </c>
      <c r="NB27" s="1079">
        <f>[1]Субсидия_факт!KT25</f>
        <v>0</v>
      </c>
      <c r="NC27" s="682">
        <f>[1]Субсидия_факт!KX25</f>
        <v>0</v>
      </c>
      <c r="ND27" s="625">
        <f>[1]Субсидия_факт!LB25</f>
        <v>0</v>
      </c>
      <c r="NE27" s="709">
        <f>[1]Субсидия_факт!LF25</f>
        <v>0</v>
      </c>
      <c r="NF27" s="587">
        <f t="shared" si="152"/>
        <v>0</v>
      </c>
      <c r="NG27" s="487"/>
      <c r="NH27" s="712"/>
      <c r="NI27" s="342"/>
      <c r="NJ27" s="706"/>
      <c r="NK27" s="498">
        <f t="shared" si="72"/>
        <v>0</v>
      </c>
      <c r="NL27" s="516">
        <f>[1]Субсидия_факт!AB25</f>
        <v>0</v>
      </c>
      <c r="NM27" s="838">
        <f>[1]Субсидия_факт!AD25</f>
        <v>0</v>
      </c>
      <c r="NN27" s="466">
        <f t="shared" si="73"/>
        <v>0</v>
      </c>
      <c r="NO27" s="772"/>
      <c r="NP27" s="987"/>
      <c r="NQ27" s="521">
        <f t="shared" si="153"/>
        <v>0</v>
      </c>
      <c r="NR27" s="506">
        <f>[1]Субсидия_факт!LH25</f>
        <v>0</v>
      </c>
      <c r="NS27" s="866">
        <f>[1]Субсидия_факт!LJ25</f>
        <v>0</v>
      </c>
      <c r="NT27" s="525">
        <f>[1]Субсидия_факт!MN25</f>
        <v>0</v>
      </c>
      <c r="NU27" s="689">
        <f>[1]Субсидия_факт!MP25</f>
        <v>0</v>
      </c>
      <c r="NV27" s="1147">
        <f>[1]Субсидия_факт!MB25</f>
        <v>0</v>
      </c>
      <c r="NW27" s="682">
        <f>[1]Субсидия_факт!MH25</f>
        <v>0</v>
      </c>
      <c r="NX27" s="521">
        <f t="shared" si="154"/>
        <v>0</v>
      </c>
      <c r="NY27" s="474"/>
      <c r="NZ27" s="686"/>
      <c r="OA27" s="474"/>
      <c r="OB27" s="686"/>
      <c r="OC27" s="342"/>
      <c r="OD27" s="1279"/>
      <c r="OE27" s="521">
        <f t="shared" si="155"/>
        <v>0</v>
      </c>
      <c r="OF27" s="652">
        <f>[1]Субсидия_факт!KJ25</f>
        <v>0</v>
      </c>
      <c r="OG27" s="682">
        <f>[1]Субсидия_факт!KN25</f>
        <v>0</v>
      </c>
      <c r="OH27" s="652">
        <f>[1]Субсидия_факт!LL25</f>
        <v>0</v>
      </c>
      <c r="OI27" s="682">
        <f>[1]Субсидия_факт!LP25</f>
        <v>0</v>
      </c>
      <c r="OJ27" s="652">
        <f>[1]Субсидия_факт!MD25</f>
        <v>0</v>
      </c>
      <c r="OK27" s="682">
        <f>[1]Субсидия_факт!MJ25</f>
        <v>0</v>
      </c>
      <c r="OL27" s="521">
        <f t="shared" si="156"/>
        <v>0</v>
      </c>
      <c r="OM27" s="487"/>
      <c r="ON27" s="712"/>
      <c r="OO27" s="474"/>
      <c r="OP27" s="686"/>
      <c r="OQ27" s="487"/>
      <c r="OR27" s="712"/>
      <c r="OS27" s="587">
        <f t="shared" si="157"/>
        <v>0</v>
      </c>
      <c r="OT27" s="1066">
        <f t="shared" si="74"/>
        <v>0</v>
      </c>
      <c r="OU27" s="682">
        <f t="shared" si="75"/>
        <v>0</v>
      </c>
      <c r="OV27" s="1066">
        <f t="shared" si="76"/>
        <v>0</v>
      </c>
      <c r="OW27" s="682">
        <f t="shared" si="77"/>
        <v>0</v>
      </c>
      <c r="OX27" s="1147">
        <f t="shared" si="78"/>
        <v>0</v>
      </c>
      <c r="OY27" s="682">
        <f t="shared" si="79"/>
        <v>0</v>
      </c>
      <c r="OZ27" s="587">
        <f t="shared" si="158"/>
        <v>0</v>
      </c>
      <c r="PA27" s="1066">
        <f t="shared" si="80"/>
        <v>0</v>
      </c>
      <c r="PB27" s="682">
        <f t="shared" si="81"/>
        <v>0</v>
      </c>
      <c r="PC27" s="1066">
        <f t="shared" si="82"/>
        <v>0</v>
      </c>
      <c r="PD27" s="682">
        <f t="shared" si="83"/>
        <v>0</v>
      </c>
      <c r="PE27" s="1147">
        <f t="shared" si="84"/>
        <v>0</v>
      </c>
      <c r="PF27" s="682">
        <f t="shared" si="85"/>
        <v>0</v>
      </c>
      <c r="PG27" s="587">
        <f t="shared" si="159"/>
        <v>0</v>
      </c>
      <c r="PH27" s="1079">
        <f>[1]Субсидия_факт!KL25</f>
        <v>0</v>
      </c>
      <c r="PI27" s="682">
        <f>[1]Субсидия_факт!KP25</f>
        <v>0</v>
      </c>
      <c r="PJ27" s="652">
        <f>[1]Субсидия_факт!LN25</f>
        <v>0</v>
      </c>
      <c r="PK27" s="682">
        <f>[1]Субсидия_факт!LR25</f>
        <v>0</v>
      </c>
      <c r="PL27" s="652">
        <f>[1]Субсидия_факт!MF25</f>
        <v>0</v>
      </c>
      <c r="PM27" s="682">
        <f>[1]Субсидия_факт!ML25</f>
        <v>0</v>
      </c>
      <c r="PN27" s="587">
        <f t="shared" si="160"/>
        <v>0</v>
      </c>
      <c r="PO27" s="487"/>
      <c r="PP27" s="712"/>
      <c r="PQ27" s="474"/>
      <c r="PR27" s="686"/>
      <c r="PS27" s="487"/>
      <c r="PT27" s="712"/>
      <c r="PU27" s="466">
        <f t="shared" si="161"/>
        <v>0</v>
      </c>
      <c r="PV27" s="516">
        <f>[1]Субсидия_факт!MR25</f>
        <v>0</v>
      </c>
      <c r="PW27" s="838">
        <f>[1]Субсидия_факт!MX25</f>
        <v>0</v>
      </c>
      <c r="PX27" s="466">
        <f t="shared" si="162"/>
        <v>0</v>
      </c>
      <c r="PY27" s="724"/>
      <c r="PZ27" s="678"/>
      <c r="QA27" s="579">
        <f t="shared" si="163"/>
        <v>0</v>
      </c>
      <c r="QB27" s="516">
        <f>[1]Субсидия_факт!MT25</f>
        <v>0</v>
      </c>
      <c r="QC27" s="838">
        <f>[1]Субсидия_факт!MZ25</f>
        <v>0</v>
      </c>
      <c r="QD27" s="466">
        <f t="shared" si="164"/>
        <v>0</v>
      </c>
      <c r="QE27" s="724"/>
      <c r="QF27" s="987"/>
      <c r="QG27" s="669">
        <f t="shared" si="165"/>
        <v>0</v>
      </c>
      <c r="QH27" s="516">
        <f t="shared" si="166"/>
        <v>0</v>
      </c>
      <c r="QI27" s="838">
        <f t="shared" si="167"/>
        <v>0</v>
      </c>
      <c r="QJ27" s="669">
        <f t="shared" si="168"/>
        <v>0</v>
      </c>
      <c r="QK27" s="516">
        <f t="shared" si="169"/>
        <v>0</v>
      </c>
      <c r="QL27" s="838">
        <f t="shared" si="170"/>
        <v>0</v>
      </c>
      <c r="QM27" s="669">
        <f t="shared" si="171"/>
        <v>0</v>
      </c>
      <c r="QN27" s="516">
        <f>[1]Субсидия_факт!MV25</f>
        <v>0</v>
      </c>
      <c r="QO27" s="838">
        <f>[1]Субсидия_факт!NB25</f>
        <v>0</v>
      </c>
      <c r="QP27" s="669">
        <f t="shared" si="172"/>
        <v>0</v>
      </c>
      <c r="QQ27" s="516">
        <f>[1]Субсидия_факт!NI25</f>
        <v>0</v>
      </c>
      <c r="QR27" s="752">
        <f>[1]Субсидия_факт!NO25</f>
        <v>0</v>
      </c>
      <c r="QS27" s="521">
        <f>'Прочая  субсидия_МР  и  ГО'!B23</f>
        <v>7192166.0300000003</v>
      </c>
      <c r="QT27" s="521">
        <f>'Прочая  субсидия_МР  и  ГО'!C23</f>
        <v>6435737.9099999992</v>
      </c>
      <c r="QU27" s="524">
        <f>'Прочая  субсидия_БП'!B23</f>
        <v>4876415.1199999992</v>
      </c>
      <c r="QV27" s="526">
        <f>'Прочая  субсидия_БП'!C23</f>
        <v>504533.70000000007</v>
      </c>
      <c r="QW27" s="583">
        <f>'Прочая  субсидия_БП'!D23</f>
        <v>3877247.31</v>
      </c>
      <c r="QX27" s="582">
        <f>'Прочая  субсидия_БП'!E23</f>
        <v>319610.27</v>
      </c>
      <c r="QY27" s="588">
        <f>'Прочая  субсидия_БП'!F23</f>
        <v>999167.81</v>
      </c>
      <c r="QZ27" s="583">
        <f>'Прочая  субсидия_БП'!G23</f>
        <v>184923.43</v>
      </c>
      <c r="RA27" s="526">
        <f t="shared" si="173"/>
        <v>486395948.53000003</v>
      </c>
      <c r="RB27" s="525">
        <f>'Проверочная  таблица'!SF27+'Проверочная  таблица'!RG27+'Проверочная  таблица'!RI27+'Проверочная  таблица'!RK27+RX27</f>
        <v>466990433.19000006</v>
      </c>
      <c r="RC27" s="508">
        <f>'Проверочная  таблица'!SG27+'Проверочная  таблица'!RM27+'Проверочная  таблица'!RS27+'Проверочная  таблица'!RO27+'Проверочная  таблица'!RQ27+RU27+RY27+SC27</f>
        <v>19405515.34</v>
      </c>
      <c r="RD27" s="521">
        <f t="shared" si="174"/>
        <v>388181859.75</v>
      </c>
      <c r="RE27" s="506">
        <f>'Проверочная  таблица'!SI27+'Проверочная  таблица'!RH27+'Проверочная  таблица'!RJ27+'Проверочная  таблица'!RL27+SA27</f>
        <v>376861509.66000003</v>
      </c>
      <c r="RF27" s="508">
        <f>'Проверочная  таблица'!SJ27+'Проверочная  таблица'!RN27+'Проверочная  таблица'!RT27+'Проверочная  таблица'!RP27+'Проверочная  таблица'!RR27+RV27+SB27+SD27</f>
        <v>11320350.09</v>
      </c>
      <c r="RG27" s="579">
        <f>'Субвенция  на  полномочия'!B23</f>
        <v>438621399.95000005</v>
      </c>
      <c r="RH27" s="466">
        <f>'Субвенция  на  полномочия'!C23</f>
        <v>356343074.68000001</v>
      </c>
      <c r="RI27" s="733">
        <f>[1]Субвенция_факт!Q24*1000</f>
        <v>17053132</v>
      </c>
      <c r="RJ27" s="736">
        <v>12843000</v>
      </c>
      <c r="RK27" s="733">
        <f>[1]Субвенция_факт!J24*1000</f>
        <v>4989365</v>
      </c>
      <c r="RL27" s="736">
        <v>4100000</v>
      </c>
      <c r="RM27" s="733">
        <f>[1]Субвенция_факт!AE24*1000</f>
        <v>2697300</v>
      </c>
      <c r="RN27" s="736">
        <v>2022975</v>
      </c>
      <c r="RO27" s="733">
        <f>[1]Субвенция_факт!AF24*1000</f>
        <v>5000</v>
      </c>
      <c r="RP27" s="736">
        <v>289.5</v>
      </c>
      <c r="RQ27" s="733">
        <f>[1]Субвенция_факт!E24*1000</f>
        <v>1611620</v>
      </c>
      <c r="RR27" s="736">
        <v>1407852</v>
      </c>
      <c r="RS27" s="733">
        <f>[1]Субвенция_факт!F24*1000</f>
        <v>0</v>
      </c>
      <c r="RT27" s="827"/>
      <c r="RU27" s="170">
        <f>[1]Субвенция_факт!G24*1000</f>
        <v>0</v>
      </c>
      <c r="RV27" s="1109"/>
      <c r="RW27" s="521">
        <f t="shared" si="88"/>
        <v>17548540.130000003</v>
      </c>
      <c r="RX27" s="622">
        <f>[1]Субвенция_факт!N24*1000</f>
        <v>4913591.24</v>
      </c>
      <c r="RY27" s="682">
        <f>[1]Субвенция_факт!O24*1000</f>
        <v>12634948.890000001</v>
      </c>
      <c r="RZ27" s="521">
        <f t="shared" si="89"/>
        <v>8934410.6300000008</v>
      </c>
      <c r="SA27" s="773">
        <v>2501634.98</v>
      </c>
      <c r="SB27" s="1279">
        <v>6432775.6500000004</v>
      </c>
      <c r="SC27" s="170">
        <f>[1]Субвенция_факт!AG24*1000</f>
        <v>766646.45</v>
      </c>
      <c r="SD27" s="1277"/>
      <c r="SE27" s="498">
        <f t="shared" si="175"/>
        <v>3102945</v>
      </c>
      <c r="SF27" s="833">
        <f>[1]Субвенция_факт!AD24*1000</f>
        <v>1412945</v>
      </c>
      <c r="SG27" s="1562">
        <f>[1]Субвенция_факт!AC24*1000</f>
        <v>1690000</v>
      </c>
      <c r="SH27" s="521">
        <f t="shared" si="176"/>
        <v>2530257.94</v>
      </c>
      <c r="SI27" s="1557">
        <v>1073800</v>
      </c>
      <c r="SJ27" s="1635">
        <v>1456457.94</v>
      </c>
      <c r="SK27" s="280">
        <f>'Проверочная  таблица'!VC27+'Проверочная  таблица'!UO27+'Проверочная  таблица'!SY27+'Проверочная  таблица'!TC27+UA27+UG27+TK27+TQ27+SM27+SS27</f>
        <v>112066110.34999999</v>
      </c>
      <c r="SL27" s="170">
        <f>'Проверочная  таблица'!VF27+'Проверочная  таблица'!UV27+'Проверочная  таблица'!TA27+'Проверочная  таблица'!TE27+UD27+UK27+TN27+TT27+SP27+SV27</f>
        <v>67359709.090000004</v>
      </c>
      <c r="SM27" s="524">
        <f t="shared" si="92"/>
        <v>18280080</v>
      </c>
      <c r="SN27" s="833">
        <f>'[1]Иные межбюджетные трансферты'!I25</f>
        <v>0</v>
      </c>
      <c r="SO27" s="880">
        <f>'[1]Иные межбюджетные трансферты'!K25</f>
        <v>18280080</v>
      </c>
      <c r="SP27" s="521">
        <f t="shared" si="93"/>
        <v>13993131.83</v>
      </c>
      <c r="SQ27" s="1421"/>
      <c r="SR27" s="1422">
        <v>13993131.83</v>
      </c>
      <c r="SS27" s="521">
        <f t="shared" si="177"/>
        <v>0</v>
      </c>
      <c r="ST27" s="1082">
        <f>'[1]Иные межбюджетные трансферты'!Y25</f>
        <v>0</v>
      </c>
      <c r="SU27" s="1630">
        <f>'[1]Иные межбюджетные трансферты'!AE25</f>
        <v>0</v>
      </c>
      <c r="SV27" s="521">
        <f t="shared" si="178"/>
        <v>0</v>
      </c>
      <c r="SW27" s="906"/>
      <c r="SX27" s="1422"/>
      <c r="SY27" s="1254">
        <f t="shared" si="94"/>
        <v>0</v>
      </c>
      <c r="SZ27" s="1009">
        <f>'[1]Иные межбюджетные трансферты'!AG25</f>
        <v>0</v>
      </c>
      <c r="TA27" s="899">
        <f t="shared" si="95"/>
        <v>0</v>
      </c>
      <c r="TB27" s="1422"/>
      <c r="TC27" s="903">
        <f t="shared" si="96"/>
        <v>0</v>
      </c>
      <c r="TD27" s="1009">
        <f>'[1]Иные межбюджетные трансферты'!AI25</f>
        <v>0</v>
      </c>
      <c r="TE27" s="899">
        <f t="shared" si="97"/>
        <v>0</v>
      </c>
      <c r="TF27" s="1082"/>
      <c r="TG27" s="901">
        <f t="shared" si="98"/>
        <v>0</v>
      </c>
      <c r="TH27" s="897">
        <f t="shared" si="99"/>
        <v>0</v>
      </c>
      <c r="TI27" s="1086">
        <f t="shared" si="179"/>
        <v>0</v>
      </c>
      <c r="TJ27" s="897">
        <f t="shared" si="180"/>
        <v>0</v>
      </c>
      <c r="TK27" s="903">
        <f t="shared" si="181"/>
        <v>0</v>
      </c>
      <c r="TL27" s="1079"/>
      <c r="TM27" s="682"/>
      <c r="TN27" s="903">
        <f t="shared" si="182"/>
        <v>0</v>
      </c>
      <c r="TO27" s="773"/>
      <c r="TP27" s="686"/>
      <c r="TQ27" s="903">
        <f t="shared" si="183"/>
        <v>69639768</v>
      </c>
      <c r="TR27" s="1079">
        <f>'[1]Иные межбюджетные трансферты'!AQ25</f>
        <v>19639768</v>
      </c>
      <c r="TS27" s="682">
        <f>'[1]Иные межбюджетные трансферты'!AU25</f>
        <v>50000000</v>
      </c>
      <c r="TT27" s="899">
        <f t="shared" si="184"/>
        <v>29713070.48</v>
      </c>
      <c r="TU27" s="753"/>
      <c r="TV27" s="771">
        <v>29713070.48</v>
      </c>
      <c r="TW27" s="820">
        <f t="shared" si="185"/>
        <v>0</v>
      </c>
      <c r="TX27" s="820">
        <f t="shared" si="186"/>
        <v>0</v>
      </c>
      <c r="TY27" s="820">
        <f t="shared" si="187"/>
        <v>69639768</v>
      </c>
      <c r="TZ27" s="1199">
        <f t="shared" si="188"/>
        <v>29713070.48</v>
      </c>
      <c r="UA27" s="1134">
        <f t="shared" si="100"/>
        <v>0</v>
      </c>
      <c r="UB27" s="945">
        <f>'[1]Иные межбюджетные трансферты'!U25</f>
        <v>0</v>
      </c>
      <c r="UC27" s="1133">
        <f>'[1]Иные межбюджетные трансферты'!W25</f>
        <v>0</v>
      </c>
      <c r="UD27" s="734">
        <f t="shared" si="101"/>
        <v>0</v>
      </c>
      <c r="UE27" s="945"/>
      <c r="UF27" s="1133"/>
      <c r="UG27" s="734">
        <f t="shared" si="189"/>
        <v>0</v>
      </c>
      <c r="UH27" s="945">
        <f>'[1]Иные межбюджетные трансферты'!O25</f>
        <v>0</v>
      </c>
      <c r="UI27" s="1133">
        <f>'[1]Иные межбюджетные трансферты'!Q25</f>
        <v>0</v>
      </c>
      <c r="UJ27" s="1133">
        <f>'[1]Иные межбюджетные трансферты'!S25</f>
        <v>0</v>
      </c>
      <c r="UK27" s="734">
        <f t="shared" si="190"/>
        <v>0</v>
      </c>
      <c r="UL27" s="1513"/>
      <c r="UM27" s="1426"/>
      <c r="UN27" s="1624"/>
      <c r="UO27" s="1585">
        <f t="shared" si="191"/>
        <v>16701741.16</v>
      </c>
      <c r="UP27" s="833">
        <f>'[1]Иные межбюджетные трансферты'!E25</f>
        <v>0</v>
      </c>
      <c r="UQ27" s="880">
        <f>'[1]Иные межбюджетные трансферты'!G25</f>
        <v>0</v>
      </c>
      <c r="UR27" s="830">
        <f>'[1]Иные межбюджетные трансферты'!M25</f>
        <v>15085411</v>
      </c>
      <c r="US27" s="1044"/>
      <c r="UT27" s="1498">
        <f>'[1]Иные межбюджетные трансферты'!AY25</f>
        <v>0</v>
      </c>
      <c r="UU27" s="1539">
        <f>'[1]Иные межбюджетные трансферты'!BA25</f>
        <v>1616330.16</v>
      </c>
      <c r="UV27" s="834">
        <f t="shared" si="192"/>
        <v>16208985.59</v>
      </c>
      <c r="UW27" s="908"/>
      <c r="UX27" s="906"/>
      <c r="UY27" s="1425">
        <v>14592655.43</v>
      </c>
      <c r="UZ27" s="516"/>
      <c r="VA27" s="518">
        <f t="shared" si="102"/>
        <v>0</v>
      </c>
      <c r="VB27" s="516">
        <f t="shared" si="193"/>
        <v>1616330.16</v>
      </c>
      <c r="VC27" s="899">
        <f t="shared" si="194"/>
        <v>7444521.1900000004</v>
      </c>
      <c r="VD27" s="830">
        <f>'[1]Иные межбюджетные трансферты'!AM25</f>
        <v>506660.86</v>
      </c>
      <c r="VE27" s="1587">
        <f>'[1]Иные межбюджетные трансферты'!BC25</f>
        <v>6937860.3300000001</v>
      </c>
      <c r="VF27" s="1495">
        <f t="shared" si="195"/>
        <v>7444521.1900000004</v>
      </c>
      <c r="VG27" s="753">
        <v>506660.86</v>
      </c>
      <c r="VH27" s="1251">
        <f t="shared" si="196"/>
        <v>6937860.3300000001</v>
      </c>
      <c r="VI27" s="1199">
        <f t="shared" si="197"/>
        <v>6127011.6400000006</v>
      </c>
      <c r="VJ27" s="516">
        <f>'Проверочная  таблица'!VD27-VP27</f>
        <v>506660.86</v>
      </c>
      <c r="VK27" s="516">
        <f>'Проверочная  таблица'!VE27-VQ27</f>
        <v>5620350.7800000003</v>
      </c>
      <c r="VL27" s="1199">
        <f t="shared" si="198"/>
        <v>6127011.6400000006</v>
      </c>
      <c r="VM27" s="516">
        <f>'Проверочная  таблица'!VG27-VS27</f>
        <v>506660.86</v>
      </c>
      <c r="VN27" s="516">
        <f>'Проверочная  таблица'!VH27-VT27</f>
        <v>5620350.7800000003</v>
      </c>
      <c r="VO27" s="1199">
        <f t="shared" si="199"/>
        <v>1317509.55</v>
      </c>
      <c r="VP27" s="833">
        <f>'[1]Иные межбюджетные трансферты'!AO25</f>
        <v>0</v>
      </c>
      <c r="VQ27" s="830">
        <f>'[1]Иные межбюджетные трансферты'!BE25</f>
        <v>1317509.55</v>
      </c>
      <c r="VR27" s="1501">
        <f t="shared" si="200"/>
        <v>1317509.55</v>
      </c>
      <c r="VS27" s="1492"/>
      <c r="VT27" s="518">
        <f t="shared" si="201"/>
        <v>1317509.55</v>
      </c>
      <c r="VU27" s="521">
        <f>VW27+'Проверочная  таблица'!WE27+WA27+'Проверочная  таблица'!WI27+WC27+'Проверочная  таблица'!WK27</f>
        <v>-400000</v>
      </c>
      <c r="VV27" s="521">
        <f>VX27+'Проверочная  таблица'!WF27+WB27+'Проверочная  таблица'!WJ27+WD27+'Проверочная  таблица'!WL27</f>
        <v>-212032.59</v>
      </c>
      <c r="VW27" s="533"/>
      <c r="VX27" s="533"/>
      <c r="VY27" s="533"/>
      <c r="VZ27" s="533"/>
      <c r="WA27" s="530">
        <f t="shared" si="103"/>
        <v>0</v>
      </c>
      <c r="WB27" s="528">
        <f t="shared" si="104"/>
        <v>0</v>
      </c>
      <c r="WC27" s="534"/>
      <c r="WD27" s="523"/>
      <c r="WE27" s="533"/>
      <c r="WF27" s="533"/>
      <c r="WG27" s="533">
        <v>-400000</v>
      </c>
      <c r="WH27" s="533">
        <v>-212032.59</v>
      </c>
      <c r="WI27" s="530">
        <f t="shared" si="105"/>
        <v>-400000</v>
      </c>
      <c r="WJ27" s="528">
        <f t="shared" si="106"/>
        <v>-212032.59</v>
      </c>
      <c r="WK27" s="523"/>
      <c r="WL27" s="523"/>
      <c r="WM27" s="252">
        <f>'Проверочная  таблица'!WE27+'Проверочная  таблица'!WG27</f>
        <v>-400000</v>
      </c>
      <c r="WN27" s="252">
        <f>'Проверочная  таблица'!WF27+'Проверочная  таблица'!WH27</f>
        <v>-212032.59</v>
      </c>
      <c r="WO27" s="1042"/>
    </row>
    <row r="28" spans="1:613" s="338" customFormat="1" ht="25.5" customHeight="1" x14ac:dyDescent="0.25">
      <c r="A28" s="347" t="s">
        <v>95</v>
      </c>
      <c r="B28" s="526">
        <f>D28+AI28+'Проверочная  таблица'!RA28+'Проверочная  таблица'!SK28</f>
        <v>740442271.96999991</v>
      </c>
      <c r="C28" s="521">
        <f>E28+'Проверочная  таблица'!RD28+AJ28+'Проверочная  таблица'!SL28</f>
        <v>484709184.74000007</v>
      </c>
      <c r="D28" s="524">
        <f t="shared" si="0"/>
        <v>152586566</v>
      </c>
      <c r="E28" s="526">
        <f t="shared" si="1"/>
        <v>129110366</v>
      </c>
      <c r="F28" s="581">
        <f>'[1]Дотация  из  ОБ_факт'!M24</f>
        <v>52446800</v>
      </c>
      <c r="G28" s="963">
        <v>39334500</v>
      </c>
      <c r="H28" s="581">
        <f>'[1]Дотация  из  ОБ_факт'!G24</f>
        <v>26256000</v>
      </c>
      <c r="I28" s="963">
        <v>19692000</v>
      </c>
      <c r="J28" s="582">
        <f t="shared" si="2"/>
        <v>26256000</v>
      </c>
      <c r="K28" s="588">
        <f t="shared" si="3"/>
        <v>19692000</v>
      </c>
      <c r="L28" s="835">
        <f>'[1]Дотация  из  ОБ_факт'!K24</f>
        <v>0</v>
      </c>
      <c r="M28" s="1446"/>
      <c r="N28" s="581">
        <f>'[1]Дотация  из  ОБ_факт'!Q24</f>
        <v>44773290</v>
      </c>
      <c r="O28" s="963">
        <v>44773290</v>
      </c>
      <c r="P28" s="581">
        <f>'[1]Дотация  из  ОБ_факт'!S24</f>
        <v>27368763</v>
      </c>
      <c r="Q28" s="1442">
        <v>23568863</v>
      </c>
      <c r="R28" s="588">
        <f t="shared" si="4"/>
        <v>27368763</v>
      </c>
      <c r="S28" s="583">
        <f t="shared" si="5"/>
        <v>23568863</v>
      </c>
      <c r="T28" s="835">
        <f>'[1]Дотация  из  ОБ_факт'!W24</f>
        <v>0</v>
      </c>
      <c r="U28" s="1448"/>
      <c r="V28" s="581">
        <f>'[1]Дотация  из  ОБ_факт'!AA24+'[1]Дотация  из  ОБ_факт'!AC24+'[1]Дотация  из  ОБ_факт'!AG24</f>
        <v>1401713</v>
      </c>
      <c r="W28" s="461">
        <f t="shared" si="6"/>
        <v>1401713</v>
      </c>
      <c r="X28" s="585"/>
      <c r="Y28" s="584"/>
      <c r="Z28" s="585">
        <v>1401713</v>
      </c>
      <c r="AA28" s="581">
        <f>'[1]Дотация  из  ОБ_факт'!Y24+'[1]Дотация  из  ОБ_факт'!AE24</f>
        <v>340000</v>
      </c>
      <c r="AB28" s="172">
        <f t="shared" si="7"/>
        <v>340000</v>
      </c>
      <c r="AC28" s="584">
        <v>340000</v>
      </c>
      <c r="AD28" s="585"/>
      <c r="AE28" s="582">
        <f t="shared" si="8"/>
        <v>340000</v>
      </c>
      <c r="AF28" s="588">
        <f t="shared" si="9"/>
        <v>340000</v>
      </c>
      <c r="AG28" s="1187">
        <f>'[1]Дотация  из  ОБ_факт'!AE24</f>
        <v>0</v>
      </c>
      <c r="AH28" s="1480">
        <f t="shared" si="107"/>
        <v>0</v>
      </c>
      <c r="AI28" s="579">
        <f>'Проверочная  таблица'!KW28+'Проверочная  таблица'!QS28+'Проверочная  таблица'!QU28+CS28+CU28+DA28+DC28+BU28+CE28+'Проверочная  таблица'!IQ28+'Проверочная  таблица'!JK28+'Проверочная  таблица'!EE28+'Проверочная  таблица'!KO28+DQ28+'Проверочная  таблица'!HQ28+'Проверочная  таблица'!HW28+'Проверочная  таблица'!LA28+'Проверочная  таблица'!LI28+HK28+FQ28+FE28+NK28+EY28+AK28+AW28+FK28+GM28+GS28+DI28+NQ28+FW28+EK28+OE28+MG28+GG28+PU28+QA28</f>
        <v>335666534.06</v>
      </c>
      <c r="AJ28" s="498">
        <f>'Проверочная  таблица'!KY28+'Проверочная  таблица'!QT28+'Проверочная  таблица'!QV28+CT28+CV28+DB28+DD28+BZ28+CJ28+'Проверочная  таблица'!JA28+'Проверочная  таблица'!JP28+'Проверочная  таблица'!EH28+'Проверочная  таблица'!KS28+DX28+'Проверочная  таблица'!HT28+'Проверочная  таблица'!HZ28+'Проверочная  таблица'!LE28+'Проверочная  таблица'!LM28+HN28+FN28+FT28+FH28+NN28+FB28+AQ28+BA28+GP28+GV28+DM28+NX28+FZ28+ER28+OL28+ML28+GJ28+PX28+QD28</f>
        <v>143379763.82000002</v>
      </c>
      <c r="AK28" s="466">
        <f t="shared" si="108"/>
        <v>0</v>
      </c>
      <c r="AL28" s="525">
        <f>[1]Субсидия_факт!CD26</f>
        <v>0</v>
      </c>
      <c r="AM28" s="508">
        <f>[1]Субсидия_факт!EX26</f>
        <v>0</v>
      </c>
      <c r="AN28" s="506">
        <f>[1]Субсидия_факт!FJ26</f>
        <v>0</v>
      </c>
      <c r="AO28" s="525">
        <f>[1]Субсидия_факт!LT26</f>
        <v>0</v>
      </c>
      <c r="AP28" s="622">
        <f>[1]Субсидия_факт!LZ26</f>
        <v>0</v>
      </c>
      <c r="AQ28" s="748">
        <f t="shared" si="109"/>
        <v>0</v>
      </c>
      <c r="AR28" s="474"/>
      <c r="AS28" s="474"/>
      <c r="AT28" s="474"/>
      <c r="AU28" s="474"/>
      <c r="AV28" s="531"/>
      <c r="AW28" s="498">
        <f t="shared" si="10"/>
        <v>0</v>
      </c>
      <c r="AX28" s="525">
        <f>[1]Субсидия_факт!CF26</f>
        <v>0</v>
      </c>
      <c r="AY28" s="508">
        <f>[1]Субсидия_факт!FB26</f>
        <v>0</v>
      </c>
      <c r="AZ28" s="646">
        <f>[1]Субсидия_факт!LV26</f>
        <v>0</v>
      </c>
      <c r="BA28" s="466">
        <f t="shared" si="11"/>
        <v>0</v>
      </c>
      <c r="BB28" s="531"/>
      <c r="BC28" s="531"/>
      <c r="BD28" s="532"/>
      <c r="BE28" s="669">
        <f t="shared" si="12"/>
        <v>0</v>
      </c>
      <c r="BF28" s="652">
        <f t="shared" si="13"/>
        <v>0</v>
      </c>
      <c r="BG28" s="464">
        <f t="shared" si="14"/>
        <v>0</v>
      </c>
      <c r="BH28" s="341">
        <f t="shared" si="15"/>
        <v>0</v>
      </c>
      <c r="BI28" s="669">
        <f t="shared" si="16"/>
        <v>0</v>
      </c>
      <c r="BJ28" s="622">
        <f t="shared" si="17"/>
        <v>0</v>
      </c>
      <c r="BK28" s="506">
        <f t="shared" si="18"/>
        <v>0</v>
      </c>
      <c r="BL28" s="341">
        <f t="shared" si="19"/>
        <v>0</v>
      </c>
      <c r="BM28" s="667">
        <f t="shared" si="20"/>
        <v>0</v>
      </c>
      <c r="BN28" s="525">
        <f>[1]Субсидия_факт!CH26</f>
        <v>0</v>
      </c>
      <c r="BO28" s="508">
        <f>[1]Субсидия_факт!FD26</f>
        <v>0</v>
      </c>
      <c r="BP28" s="646">
        <f>[1]Субсидия_факт!LX26</f>
        <v>0</v>
      </c>
      <c r="BQ28" s="669">
        <f t="shared" si="21"/>
        <v>0</v>
      </c>
      <c r="BR28" s="532"/>
      <c r="BS28" s="531"/>
      <c r="BT28" s="532"/>
      <c r="BU28" s="521">
        <f t="shared" si="110"/>
        <v>30910058.020000003</v>
      </c>
      <c r="BV28" s="562">
        <f>[1]Субсидия_факт!HB26</f>
        <v>0</v>
      </c>
      <c r="BW28" s="516">
        <f>[1]Субсидия_факт!HH26</f>
        <v>30910058.020000003</v>
      </c>
      <c r="BX28" s="531">
        <f>[1]Субсидия_факт!HP26</f>
        <v>0</v>
      </c>
      <c r="BY28" s="562">
        <f>[1]Субсидия_факт!HV26</f>
        <v>0</v>
      </c>
      <c r="BZ28" s="521">
        <f t="shared" si="111"/>
        <v>30618698.870000001</v>
      </c>
      <c r="CA28" s="531"/>
      <c r="CB28" s="531">
        <v>30618698.870000001</v>
      </c>
      <c r="CC28" s="625"/>
      <c r="CD28" s="625"/>
      <c r="CE28" s="526">
        <f t="shared" si="112"/>
        <v>0</v>
      </c>
      <c r="CF28" s="525">
        <f>[1]Субсидия_факт!HD26</f>
        <v>0</v>
      </c>
      <c r="CG28" s="525">
        <f>[1]Субсидия_факт!HJ26</f>
        <v>0</v>
      </c>
      <c r="CH28" s="531">
        <f>[1]Субсидия_факт!HR26</f>
        <v>0</v>
      </c>
      <c r="CI28" s="646">
        <f>[1]Субсидия_факт!HX26</f>
        <v>0</v>
      </c>
      <c r="CJ28" s="521">
        <f t="shared" si="113"/>
        <v>0</v>
      </c>
      <c r="CK28" s="531"/>
      <c r="CL28" s="532"/>
      <c r="CM28" s="625"/>
      <c r="CN28" s="724"/>
      <c r="CO28" s="530">
        <f t="shared" si="22"/>
        <v>0</v>
      </c>
      <c r="CP28" s="528">
        <f t="shared" si="23"/>
        <v>0</v>
      </c>
      <c r="CQ28" s="527">
        <f t="shared" si="114"/>
        <v>0</v>
      </c>
      <c r="CR28" s="530">
        <f t="shared" si="115"/>
        <v>0</v>
      </c>
      <c r="CS28" s="521">
        <f>[1]Субсидия_факт!FL26</f>
        <v>0</v>
      </c>
      <c r="CT28" s="620"/>
      <c r="CU28" s="521">
        <f>[1]Субсидия_факт!FN26</f>
        <v>0</v>
      </c>
      <c r="CV28" s="620"/>
      <c r="CW28" s="528">
        <f t="shared" si="24"/>
        <v>0</v>
      </c>
      <c r="CX28" s="527">
        <f t="shared" si="25"/>
        <v>0</v>
      </c>
      <c r="CY28" s="587">
        <f>[1]Субсидия_факт!FP26</f>
        <v>0</v>
      </c>
      <c r="CZ28" s="1480">
        <f t="shared" si="205"/>
        <v>0</v>
      </c>
      <c r="DA28" s="526">
        <f>[1]Субсидия_факт!FR26</f>
        <v>0</v>
      </c>
      <c r="DB28" s="339"/>
      <c r="DC28" s="524">
        <f>[1]Субсидия_факт!FT26</f>
        <v>0</v>
      </c>
      <c r="DD28" s="339"/>
      <c r="DE28" s="1238">
        <f t="shared" si="26"/>
        <v>0</v>
      </c>
      <c r="DF28" s="528">
        <f t="shared" si="27"/>
        <v>0</v>
      </c>
      <c r="DG28" s="663">
        <f>[1]Субсидия_факт!FV26</f>
        <v>0</v>
      </c>
      <c r="DH28" s="1478">
        <f t="shared" si="116"/>
        <v>0</v>
      </c>
      <c r="DI28" s="498">
        <f t="shared" si="117"/>
        <v>266130140.15000001</v>
      </c>
      <c r="DJ28" s="625">
        <f>[1]Субсидия_факт!EV26</f>
        <v>0</v>
      </c>
      <c r="DK28" s="516">
        <f>[1]Субсидия_факт!EL26</f>
        <v>46110793.090000004</v>
      </c>
      <c r="DL28" s="838">
        <f>[1]Субсидия_факт!EN26</f>
        <v>220019347.06</v>
      </c>
      <c r="DM28" s="466">
        <f t="shared" si="118"/>
        <v>89892317.189999998</v>
      </c>
      <c r="DN28" s="625"/>
      <c r="DO28" s="625">
        <v>16591439.550000001</v>
      </c>
      <c r="DP28" s="987">
        <v>73300877.640000001</v>
      </c>
      <c r="DQ28" s="526">
        <f t="shared" si="28"/>
        <v>1274000</v>
      </c>
      <c r="DR28" s="508">
        <f>[1]Субсидия_факт!N26</f>
        <v>0</v>
      </c>
      <c r="DS28" s="652">
        <f>[1]Субсидия_факт!P26</f>
        <v>0</v>
      </c>
      <c r="DT28" s="682">
        <f>[1]Субсидия_факт!R26</f>
        <v>0</v>
      </c>
      <c r="DU28" s="506">
        <f>[1]Субсидия_факт!T26</f>
        <v>0</v>
      </c>
      <c r="DV28" s="689">
        <f>[1]Субсидия_факт!V26</f>
        <v>0</v>
      </c>
      <c r="DW28" s="506">
        <f>[1]Субсидия_факт!X26</f>
        <v>1274000</v>
      </c>
      <c r="DX28" s="521">
        <f t="shared" si="29"/>
        <v>1273585.04</v>
      </c>
      <c r="DY28" s="532"/>
      <c r="DZ28" s="531"/>
      <c r="EA28" s="686"/>
      <c r="EB28" s="531"/>
      <c r="EC28" s="686"/>
      <c r="ED28" s="531">
        <v>1273585.04</v>
      </c>
      <c r="EE28" s="498">
        <f t="shared" si="30"/>
        <v>0</v>
      </c>
      <c r="EF28" s="516">
        <f>[1]Субсидия_факт!BL26</f>
        <v>0</v>
      </c>
      <c r="EG28" s="838">
        <f>[1]Субсидия_факт!BN26</f>
        <v>0</v>
      </c>
      <c r="EH28" s="466">
        <f t="shared" si="31"/>
        <v>0</v>
      </c>
      <c r="EI28" s="772"/>
      <c r="EJ28" s="987"/>
      <c r="EK28" s="526">
        <f t="shared" si="32"/>
        <v>0</v>
      </c>
      <c r="EL28" s="525">
        <f>[1]Субсидия_факт!AF26</f>
        <v>0</v>
      </c>
      <c r="EM28" s="689">
        <f>[1]Субсидия_факт!AH26</f>
        <v>0</v>
      </c>
      <c r="EN28" s="506">
        <f>[1]Субсидия_факт!AJ26</f>
        <v>0</v>
      </c>
      <c r="EO28" s="866">
        <f>[1]Субсидия_факт!AL26</f>
        <v>0</v>
      </c>
      <c r="EP28" s="622">
        <f>[1]Субсидия_факт!AN26</f>
        <v>0</v>
      </c>
      <c r="EQ28" s="712">
        <f>[1]Субсидия_факт!AP26</f>
        <v>0</v>
      </c>
      <c r="ER28" s="521">
        <f t="shared" si="33"/>
        <v>0</v>
      </c>
      <c r="ES28" s="474"/>
      <c r="ET28" s="686"/>
      <c r="EU28" s="474"/>
      <c r="EV28" s="686"/>
      <c r="EW28" s="474"/>
      <c r="EX28" s="686"/>
      <c r="EY28" s="498">
        <f t="shared" si="34"/>
        <v>0</v>
      </c>
      <c r="EZ28" s="516">
        <f>[1]Субсидия_факт!AV26</f>
        <v>0</v>
      </c>
      <c r="FA28" s="752">
        <f>[1]Субсидия_факт!AX26</f>
        <v>0</v>
      </c>
      <c r="FB28" s="466">
        <f t="shared" si="35"/>
        <v>0</v>
      </c>
      <c r="FC28" s="772"/>
      <c r="FD28" s="678"/>
      <c r="FE28" s="498">
        <f t="shared" si="36"/>
        <v>0</v>
      </c>
      <c r="FF28" s="516">
        <f>[1]Субсидия_факт!BT26</f>
        <v>0</v>
      </c>
      <c r="FG28" s="838">
        <f>[1]Субсидия_факт!BV26</f>
        <v>0</v>
      </c>
      <c r="FH28" s="466">
        <f t="shared" si="37"/>
        <v>0</v>
      </c>
      <c r="FI28" s="772"/>
      <c r="FJ28" s="678"/>
      <c r="FK28" s="498">
        <f t="shared" si="38"/>
        <v>0</v>
      </c>
      <c r="FL28" s="516">
        <f>[1]Субсидия_факт!BP26</f>
        <v>0</v>
      </c>
      <c r="FM28" s="838">
        <f>[1]Субсидия_факт!BR26</f>
        <v>0</v>
      </c>
      <c r="FN28" s="466">
        <f t="shared" si="39"/>
        <v>0</v>
      </c>
      <c r="FO28" s="772"/>
      <c r="FP28" s="678"/>
      <c r="FQ28" s="498">
        <f t="shared" si="40"/>
        <v>0</v>
      </c>
      <c r="FR28" s="516">
        <f>[1]Субсидия_факт!IV26</f>
        <v>0</v>
      </c>
      <c r="FS28" s="838">
        <f>[1]Субсидия_факт!IX26</f>
        <v>0</v>
      </c>
      <c r="FT28" s="466">
        <f t="shared" si="41"/>
        <v>0</v>
      </c>
      <c r="FU28" s="772"/>
      <c r="FV28" s="678"/>
      <c r="FW28" s="498">
        <f t="shared" si="42"/>
        <v>0</v>
      </c>
      <c r="FX28" s="516">
        <f>[1]Субсидия_факт!IZ26</f>
        <v>0</v>
      </c>
      <c r="FY28" s="838">
        <f>[1]Субсидия_факт!JD26</f>
        <v>0</v>
      </c>
      <c r="FZ28" s="466">
        <f t="shared" si="43"/>
        <v>0</v>
      </c>
      <c r="GA28" s="772"/>
      <c r="GB28" s="678"/>
      <c r="GC28" s="667">
        <f t="shared" si="119"/>
        <v>0</v>
      </c>
      <c r="GD28" s="669">
        <f t="shared" si="120"/>
        <v>0</v>
      </c>
      <c r="GE28" s="667">
        <f t="shared" si="121"/>
        <v>0</v>
      </c>
      <c r="GF28" s="669">
        <f t="shared" si="122"/>
        <v>0</v>
      </c>
      <c r="GG28" s="498">
        <f t="shared" si="123"/>
        <v>0</v>
      </c>
      <c r="GH28" s="1251">
        <f>[1]Субсидия_факт!BH26</f>
        <v>0</v>
      </c>
      <c r="GI28" s="676">
        <f>[1]Субсидия_факт!BJ26</f>
        <v>0</v>
      </c>
      <c r="GJ28" s="498">
        <f t="shared" si="124"/>
        <v>0</v>
      </c>
      <c r="GK28" s="724"/>
      <c r="GL28" s="678"/>
      <c r="GM28" s="498">
        <f t="shared" si="44"/>
        <v>0</v>
      </c>
      <c r="GN28" s="516"/>
      <c r="GO28" s="838"/>
      <c r="GP28" s="466">
        <f t="shared" si="45"/>
        <v>0</v>
      </c>
      <c r="GQ28" s="724"/>
      <c r="GR28" s="678"/>
      <c r="GS28" s="498">
        <f t="shared" si="46"/>
        <v>536209</v>
      </c>
      <c r="GT28" s="516">
        <f>[1]Субсидия_факт!FZ26</f>
        <v>267939.27</v>
      </c>
      <c r="GU28" s="838">
        <f>[1]Субсидия_факт!GD26</f>
        <v>268269.73</v>
      </c>
      <c r="GV28" s="466">
        <f t="shared" si="47"/>
        <v>536209</v>
      </c>
      <c r="GW28" s="1251">
        <f>GT28</f>
        <v>267939.27</v>
      </c>
      <c r="GX28" s="676">
        <f>GU28</f>
        <v>268269.73</v>
      </c>
      <c r="GY28" s="667">
        <f t="shared" si="48"/>
        <v>536209</v>
      </c>
      <c r="GZ28" s="516">
        <f t="shared" si="125"/>
        <v>267939.27</v>
      </c>
      <c r="HA28" s="838">
        <f t="shared" si="125"/>
        <v>268269.73</v>
      </c>
      <c r="HB28" s="669">
        <f t="shared" si="49"/>
        <v>536209</v>
      </c>
      <c r="HC28" s="516">
        <f t="shared" si="125"/>
        <v>267939.27</v>
      </c>
      <c r="HD28" s="838">
        <f t="shared" si="125"/>
        <v>268269.73</v>
      </c>
      <c r="HE28" s="667">
        <f t="shared" si="50"/>
        <v>0</v>
      </c>
      <c r="HF28" s="516">
        <f>[1]Субсидия_факт!GB26</f>
        <v>0</v>
      </c>
      <c r="HG28" s="838">
        <f>[1]Субсидия_факт!GF26</f>
        <v>0</v>
      </c>
      <c r="HH28" s="669">
        <f t="shared" si="51"/>
        <v>0</v>
      </c>
      <c r="HI28" s="724"/>
      <c r="HJ28" s="678"/>
      <c r="HK28" s="526">
        <f t="shared" si="126"/>
        <v>0</v>
      </c>
      <c r="HL28" s="518">
        <f>[1]Субсидия_факт!DD26</f>
        <v>0</v>
      </c>
      <c r="HM28" s="752">
        <f>[1]Субсидия_факт!DF26</f>
        <v>0</v>
      </c>
      <c r="HN28" s="521">
        <f t="shared" si="127"/>
        <v>0</v>
      </c>
      <c r="HO28" s="531"/>
      <c r="HP28" s="706"/>
      <c r="HQ28" s="579">
        <f t="shared" si="54"/>
        <v>599262.31000000006</v>
      </c>
      <c r="HR28" s="516">
        <f>[1]Субсидия_факт!CR26</f>
        <v>167793.46000000002</v>
      </c>
      <c r="HS28" s="838">
        <f>[1]Субсидия_факт!CX26</f>
        <v>431468.85</v>
      </c>
      <c r="HT28" s="466">
        <f t="shared" si="55"/>
        <v>599262.31000000006</v>
      </c>
      <c r="HU28" s="1251">
        <f t="shared" si="212"/>
        <v>167793.46000000002</v>
      </c>
      <c r="HV28" s="1519">
        <f t="shared" si="212"/>
        <v>431468.85</v>
      </c>
      <c r="HW28" s="466">
        <f t="shared" si="56"/>
        <v>0</v>
      </c>
      <c r="HX28" s="516">
        <f>[1]Субсидия_факт!CT26</f>
        <v>0</v>
      </c>
      <c r="HY28" s="752">
        <f>[1]Субсидия_факт!CZ26</f>
        <v>0</v>
      </c>
      <c r="HZ28" s="466">
        <f t="shared" si="57"/>
        <v>0</v>
      </c>
      <c r="IA28" s="757">
        <f t="shared" si="128"/>
        <v>0</v>
      </c>
      <c r="IB28" s="789">
        <f t="shared" si="129"/>
        <v>0</v>
      </c>
      <c r="IC28" s="625">
        <v>167793.46</v>
      </c>
      <c r="ID28" s="709">
        <v>431468.85</v>
      </c>
      <c r="IE28" s="669">
        <f t="shared" si="58"/>
        <v>0</v>
      </c>
      <c r="IF28" s="750">
        <f>'Проверочная  таблица'!HX28-'Проверочная  таблица'!IL28</f>
        <v>0</v>
      </c>
      <c r="IG28" s="676">
        <f>'Проверочная  таблица'!HY28-'Проверочная  таблица'!IM28</f>
        <v>0</v>
      </c>
      <c r="IH28" s="663">
        <f t="shared" si="59"/>
        <v>0</v>
      </c>
      <c r="II28" s="757">
        <f>'Проверочная  таблица'!IA28-'Проверочная  таблица'!IO28</f>
        <v>0</v>
      </c>
      <c r="IJ28" s="768">
        <f>'Проверочная  таблица'!IB28-'Проверочная  таблица'!IP28</f>
        <v>0</v>
      </c>
      <c r="IK28" s="669">
        <f t="shared" si="60"/>
        <v>0</v>
      </c>
      <c r="IL28" s="516">
        <f>[1]Субсидия_факт!CV26</f>
        <v>0</v>
      </c>
      <c r="IM28" s="838">
        <f>[1]Субсидия_факт!DB26</f>
        <v>0</v>
      </c>
      <c r="IN28" s="669">
        <f t="shared" si="61"/>
        <v>0</v>
      </c>
      <c r="IO28" s="724"/>
      <c r="IP28" s="678"/>
      <c r="IQ28" s="466">
        <f t="shared" si="130"/>
        <v>15432567.800000001</v>
      </c>
      <c r="IR28" s="757">
        <f>[1]Субсидия_факт!CJ26</f>
        <v>0</v>
      </c>
      <c r="IS28" s="676">
        <f>[1]Субсидия_факт!CN26</f>
        <v>0</v>
      </c>
      <c r="IT28" s="757">
        <f>[1]Субсидия_факт!DH26</f>
        <v>0</v>
      </c>
      <c r="IU28" s="676">
        <f>[1]Субсидия_факт!DN26</f>
        <v>0</v>
      </c>
      <c r="IV28" s="525">
        <f>[1]Субсидия_факт!DX26</f>
        <v>2845518.98</v>
      </c>
      <c r="IW28" s="689">
        <f>[1]Субсидия_факт!DZ26</f>
        <v>7317048.8200000003</v>
      </c>
      <c r="IX28" s="1295">
        <f>[1]Субсидия_факт!DT26</f>
        <v>269612.63</v>
      </c>
      <c r="IY28" s="676">
        <f>[1]Субсидия_факт!DV26</f>
        <v>5000387.37</v>
      </c>
      <c r="IZ28" s="516">
        <f>[1]Субсидия_факт!EB26</f>
        <v>0</v>
      </c>
      <c r="JA28" s="466">
        <f t="shared" si="131"/>
        <v>6560679.3399999999</v>
      </c>
      <c r="JB28" s="625"/>
      <c r="JC28" s="678"/>
      <c r="JD28" s="625"/>
      <c r="JE28" s="678"/>
      <c r="JF28" s="531">
        <v>372366.09</v>
      </c>
      <c r="JG28" s="706">
        <v>957512.79</v>
      </c>
      <c r="JH28" s="625">
        <v>267607.19</v>
      </c>
      <c r="JI28" s="678">
        <v>4963193.2699999996</v>
      </c>
      <c r="JJ28" s="757">
        <f t="shared" si="132"/>
        <v>0</v>
      </c>
      <c r="JK28" s="748">
        <f t="shared" si="133"/>
        <v>0</v>
      </c>
      <c r="JL28" s="757">
        <f>[1]Субсидия_факт!CL26</f>
        <v>0</v>
      </c>
      <c r="JM28" s="676">
        <f>[1]Субсидия_факт!CP26</f>
        <v>0</v>
      </c>
      <c r="JN28" s="757">
        <f>[1]Субсидия_факт!DJ26</f>
        <v>0</v>
      </c>
      <c r="JO28" s="676">
        <f>[1]Субсидия_факт!DP26</f>
        <v>0</v>
      </c>
      <c r="JP28" s="748">
        <f t="shared" si="134"/>
        <v>0</v>
      </c>
      <c r="JQ28" s="625"/>
      <c r="JR28" s="678"/>
      <c r="JS28" s="625"/>
      <c r="JT28" s="678"/>
      <c r="JU28" s="587">
        <f t="shared" si="135"/>
        <v>0</v>
      </c>
      <c r="JV28" s="757">
        <f>'Проверочная  таблица'!JL28-KF28</f>
        <v>0</v>
      </c>
      <c r="JW28" s="676">
        <f>'Проверочная  таблица'!JM28-KG28</f>
        <v>0</v>
      </c>
      <c r="JX28" s="757">
        <f>'Проверочная  таблица'!JN28-KH28</f>
        <v>0</v>
      </c>
      <c r="JY28" s="676">
        <f>'Проверочная  таблица'!JO28-KI28</f>
        <v>0</v>
      </c>
      <c r="JZ28" s="587">
        <f t="shared" si="136"/>
        <v>0</v>
      </c>
      <c r="KA28" s="757">
        <f>'Проверочная  таблица'!JQ28-KK28</f>
        <v>0</v>
      </c>
      <c r="KB28" s="676">
        <f>'Проверочная  таблица'!JR28-KL28</f>
        <v>0</v>
      </c>
      <c r="KC28" s="757">
        <f>'Проверочная  таблица'!JS28-KM28</f>
        <v>0</v>
      </c>
      <c r="KD28" s="789">
        <f>'Проверочная  таблица'!JT28-KN28</f>
        <v>0</v>
      </c>
      <c r="KE28" s="587">
        <f t="shared" si="137"/>
        <v>0</v>
      </c>
      <c r="KF28" s="625"/>
      <c r="KG28" s="678"/>
      <c r="KH28" s="757">
        <f>[1]Субсидия_факт!DL26</f>
        <v>0</v>
      </c>
      <c r="KI28" s="1519">
        <f>[1]Субсидия_факт!DR26</f>
        <v>0</v>
      </c>
      <c r="KJ28" s="587">
        <f t="shared" si="138"/>
        <v>0</v>
      </c>
      <c r="KK28" s="753"/>
      <c r="KL28" s="678"/>
      <c r="KM28" s="625"/>
      <c r="KN28" s="678"/>
      <c r="KO28" s="579">
        <f t="shared" si="139"/>
        <v>0</v>
      </c>
      <c r="KP28" s="516">
        <f>[1]Субсидия_факт!BX26</f>
        <v>0</v>
      </c>
      <c r="KQ28" s="838">
        <f>[1]Субсидия_факт!BZ26</f>
        <v>0</v>
      </c>
      <c r="KR28" s="516">
        <f>[1]Субсидия_факт!CB26</f>
        <v>0</v>
      </c>
      <c r="KS28" s="466">
        <f t="shared" si="140"/>
        <v>0</v>
      </c>
      <c r="KT28" s="625"/>
      <c r="KU28" s="678"/>
      <c r="KV28" s="625"/>
      <c r="KW28" s="498">
        <f t="shared" si="62"/>
        <v>0</v>
      </c>
      <c r="KX28" s="508">
        <f>[1]Субсидия_факт!GN26</f>
        <v>0</v>
      </c>
      <c r="KY28" s="466">
        <f t="shared" si="63"/>
        <v>0</v>
      </c>
      <c r="KZ28" s="625"/>
      <c r="LA28" s="754">
        <f t="shared" si="206"/>
        <v>0</v>
      </c>
      <c r="LB28" s="516">
        <f>[1]Субсидия_факт!JT26</f>
        <v>0</v>
      </c>
      <c r="LC28" s="838">
        <f>[1]Субсидия_факт!JZ26</f>
        <v>0</v>
      </c>
      <c r="LD28" s="508"/>
      <c r="LE28" s="754">
        <f t="shared" si="207"/>
        <v>0</v>
      </c>
      <c r="LF28" s="772"/>
      <c r="LG28" s="678"/>
      <c r="LH28" s="625"/>
      <c r="LI28" s="754">
        <f t="shared" si="141"/>
        <v>3015621.42</v>
      </c>
      <c r="LJ28" s="516">
        <f>[1]Субсидия_факт!JV26</f>
        <v>0</v>
      </c>
      <c r="LK28" s="838">
        <f>[1]Субсидия_факт!KB26</f>
        <v>0</v>
      </c>
      <c r="LL28" s="518">
        <f>[1]Субсидия_факт!KF26</f>
        <v>3015621.42</v>
      </c>
      <c r="LM28" s="754">
        <f t="shared" si="142"/>
        <v>0</v>
      </c>
      <c r="LN28" s="625"/>
      <c r="LO28" s="771"/>
      <c r="LP28" s="625"/>
      <c r="LQ28" s="756">
        <f t="shared" si="143"/>
        <v>3015621.42</v>
      </c>
      <c r="LR28" s="652">
        <f>'Проверочная  таблица'!LJ28-LZ28</f>
        <v>0</v>
      </c>
      <c r="LS28" s="682">
        <f>'Проверочная  таблица'!LK28-MA28</f>
        <v>0</v>
      </c>
      <c r="LT28" s="622">
        <f>'Проверочная  таблица'!LL28-MB28</f>
        <v>3015621.42</v>
      </c>
      <c r="LU28" s="756">
        <f t="shared" si="144"/>
        <v>0</v>
      </c>
      <c r="LV28" s="750">
        <f>'Проверочная  таблица'!LN28-MD28</f>
        <v>0</v>
      </c>
      <c r="LW28" s="676">
        <f>'Проверочная  таблица'!LO28-ME28</f>
        <v>0</v>
      </c>
      <c r="LX28" s="757">
        <f>'Проверочная  таблица'!LP28-MF28</f>
        <v>0</v>
      </c>
      <c r="LY28" s="756">
        <f t="shared" si="145"/>
        <v>0</v>
      </c>
      <c r="LZ28" s="516">
        <f>[1]Субсидия_факт!JX26</f>
        <v>0</v>
      </c>
      <c r="MA28" s="838">
        <f>[1]Субсидия_факт!KD26</f>
        <v>0</v>
      </c>
      <c r="MB28" s="516">
        <f>[1]Субсидия_факт!KH26</f>
        <v>0</v>
      </c>
      <c r="MC28" s="756">
        <f t="shared" si="146"/>
        <v>0</v>
      </c>
      <c r="MD28" s="750">
        <f t="shared" si="203"/>
        <v>0</v>
      </c>
      <c r="ME28" s="676">
        <f t="shared" si="204"/>
        <v>0</v>
      </c>
      <c r="MF28" s="516"/>
      <c r="MG28" s="521">
        <f t="shared" si="147"/>
        <v>490254.12</v>
      </c>
      <c r="MH28" s="652">
        <f>[1]Субсидия_факт!KR26</f>
        <v>24512.71</v>
      </c>
      <c r="MI28" s="682">
        <f>[1]Субсидия_факт!KV26</f>
        <v>465741.41</v>
      </c>
      <c r="MJ28" s="750">
        <f>[1]Субсидия_факт!KZ26</f>
        <v>0</v>
      </c>
      <c r="MK28" s="1519">
        <f>[1]Субсидия_факт!LD26</f>
        <v>0</v>
      </c>
      <c r="ML28" s="521">
        <f t="shared" si="148"/>
        <v>488879.99</v>
      </c>
      <c r="MM28" s="1609">
        <v>24444</v>
      </c>
      <c r="MN28" s="706">
        <v>464435.99</v>
      </c>
      <c r="MO28" s="342"/>
      <c r="MP28" s="770"/>
      <c r="MQ28" s="587">
        <f t="shared" si="149"/>
        <v>490254.12</v>
      </c>
      <c r="MR28" s="1613">
        <f t="shared" si="64"/>
        <v>24512.71</v>
      </c>
      <c r="MS28" s="682">
        <f t="shared" si="65"/>
        <v>465741.41</v>
      </c>
      <c r="MT28" s="487">
        <f t="shared" si="66"/>
        <v>0</v>
      </c>
      <c r="MU28" s="682">
        <f t="shared" si="67"/>
        <v>0</v>
      </c>
      <c r="MV28" s="587">
        <f t="shared" si="150"/>
        <v>488879.99</v>
      </c>
      <c r="MW28" s="487">
        <f t="shared" si="68"/>
        <v>24444</v>
      </c>
      <c r="MX28" s="682">
        <f t="shared" si="69"/>
        <v>464435.99</v>
      </c>
      <c r="MY28" s="487">
        <f t="shared" si="70"/>
        <v>0</v>
      </c>
      <c r="MZ28" s="682">
        <f t="shared" si="71"/>
        <v>0</v>
      </c>
      <c r="NA28" s="587">
        <f t="shared" si="151"/>
        <v>0</v>
      </c>
      <c r="NB28" s="1079">
        <f>[1]Субсидия_факт!KT26</f>
        <v>0</v>
      </c>
      <c r="NC28" s="682">
        <f>[1]Субсидия_факт!KX26</f>
        <v>0</v>
      </c>
      <c r="ND28" s="625">
        <f>[1]Субсидия_факт!LB26</f>
        <v>0</v>
      </c>
      <c r="NE28" s="709">
        <f>[1]Субсидия_факт!LF26</f>
        <v>0</v>
      </c>
      <c r="NF28" s="587">
        <f t="shared" si="152"/>
        <v>0</v>
      </c>
      <c r="NG28" s="487"/>
      <c r="NH28" s="712"/>
      <c r="NI28" s="342"/>
      <c r="NJ28" s="706"/>
      <c r="NK28" s="498">
        <f t="shared" si="72"/>
        <v>0</v>
      </c>
      <c r="NL28" s="516">
        <f>[1]Субсидия_факт!AB26</f>
        <v>0</v>
      </c>
      <c r="NM28" s="838">
        <f>[1]Субсидия_факт!AD26</f>
        <v>0</v>
      </c>
      <c r="NN28" s="466">
        <f t="shared" si="73"/>
        <v>0</v>
      </c>
      <c r="NO28" s="772"/>
      <c r="NP28" s="987"/>
      <c r="NQ28" s="521">
        <f t="shared" si="153"/>
        <v>8719469.4399999995</v>
      </c>
      <c r="NR28" s="506">
        <f>[1]Субсидия_факт!LH26</f>
        <v>0</v>
      </c>
      <c r="NS28" s="866">
        <f>[1]Субсидия_факт!LJ26</f>
        <v>0</v>
      </c>
      <c r="NT28" s="525">
        <f>[1]Субсидия_факт!MN26</f>
        <v>0</v>
      </c>
      <c r="NU28" s="689">
        <f>[1]Субсидия_факт!MP26</f>
        <v>0</v>
      </c>
      <c r="NV28" s="1147">
        <f>[1]Субсидия_факт!MB26</f>
        <v>2441451.44</v>
      </c>
      <c r="NW28" s="682">
        <f>[1]Субсидия_факт!MH26</f>
        <v>6278018</v>
      </c>
      <c r="NX28" s="521">
        <f t="shared" si="154"/>
        <v>8719469.4400000013</v>
      </c>
      <c r="NY28" s="474"/>
      <c r="NZ28" s="686"/>
      <c r="OA28" s="474"/>
      <c r="OB28" s="686"/>
      <c r="OC28" s="342">
        <v>2441451.4500000002</v>
      </c>
      <c r="OD28" s="1279">
        <v>6278017.9900000002</v>
      </c>
      <c r="OE28" s="521">
        <f t="shared" si="155"/>
        <v>0</v>
      </c>
      <c r="OF28" s="652">
        <f>[1]Субсидия_факт!KJ26</f>
        <v>0</v>
      </c>
      <c r="OG28" s="682">
        <f>[1]Субсидия_факт!KN26</f>
        <v>0</v>
      </c>
      <c r="OH28" s="652">
        <f>[1]Субсидия_факт!LL26</f>
        <v>0</v>
      </c>
      <c r="OI28" s="682">
        <f>[1]Субсидия_факт!LP26</f>
        <v>0</v>
      </c>
      <c r="OJ28" s="652">
        <f>[1]Субсидия_факт!MD26</f>
        <v>0</v>
      </c>
      <c r="OK28" s="682">
        <f>[1]Субсидия_факт!MJ26</f>
        <v>0</v>
      </c>
      <c r="OL28" s="521">
        <f t="shared" si="156"/>
        <v>0</v>
      </c>
      <c r="OM28" s="487"/>
      <c r="ON28" s="712"/>
      <c r="OO28" s="474"/>
      <c r="OP28" s="686"/>
      <c r="OQ28" s="487"/>
      <c r="OR28" s="712"/>
      <c r="OS28" s="587">
        <f t="shared" si="157"/>
        <v>0</v>
      </c>
      <c r="OT28" s="1066">
        <f t="shared" si="74"/>
        <v>0</v>
      </c>
      <c r="OU28" s="682">
        <f t="shared" si="75"/>
        <v>0</v>
      </c>
      <c r="OV28" s="1066">
        <f t="shared" si="76"/>
        <v>0</v>
      </c>
      <c r="OW28" s="682">
        <f t="shared" si="77"/>
        <v>0</v>
      </c>
      <c r="OX28" s="1147">
        <f t="shared" si="78"/>
        <v>0</v>
      </c>
      <c r="OY28" s="682">
        <f t="shared" si="79"/>
        <v>0</v>
      </c>
      <c r="OZ28" s="587">
        <f t="shared" si="158"/>
        <v>0</v>
      </c>
      <c r="PA28" s="1066">
        <f t="shared" si="80"/>
        <v>0</v>
      </c>
      <c r="PB28" s="682">
        <f t="shared" si="81"/>
        <v>0</v>
      </c>
      <c r="PC28" s="1066">
        <f t="shared" si="82"/>
        <v>0</v>
      </c>
      <c r="PD28" s="682">
        <f t="shared" si="83"/>
        <v>0</v>
      </c>
      <c r="PE28" s="1147">
        <f t="shared" si="84"/>
        <v>0</v>
      </c>
      <c r="PF28" s="682">
        <f t="shared" si="85"/>
        <v>0</v>
      </c>
      <c r="PG28" s="587">
        <f t="shared" si="159"/>
        <v>0</v>
      </c>
      <c r="PH28" s="1079">
        <f>[1]Субсидия_факт!KL26</f>
        <v>0</v>
      </c>
      <c r="PI28" s="682">
        <f>[1]Субсидия_факт!KP26</f>
        <v>0</v>
      </c>
      <c r="PJ28" s="652">
        <f>[1]Субсидия_факт!LN26</f>
        <v>0</v>
      </c>
      <c r="PK28" s="682">
        <f>[1]Субсидия_факт!LR26</f>
        <v>0</v>
      </c>
      <c r="PL28" s="652">
        <f>[1]Субсидия_факт!MF26</f>
        <v>0</v>
      </c>
      <c r="PM28" s="682">
        <f>[1]Субсидия_факт!ML26</f>
        <v>0</v>
      </c>
      <c r="PN28" s="587">
        <f t="shared" si="160"/>
        <v>0</v>
      </c>
      <c r="PO28" s="487"/>
      <c r="PP28" s="712"/>
      <c r="PQ28" s="474"/>
      <c r="PR28" s="686"/>
      <c r="PS28" s="487"/>
      <c r="PT28" s="712"/>
      <c r="PU28" s="466">
        <f t="shared" si="161"/>
        <v>0</v>
      </c>
      <c r="PV28" s="516">
        <f>[1]Субсидия_факт!MR26</f>
        <v>0</v>
      </c>
      <c r="PW28" s="838">
        <f>[1]Субсидия_факт!MX26</f>
        <v>0</v>
      </c>
      <c r="PX28" s="466">
        <f t="shared" si="162"/>
        <v>0</v>
      </c>
      <c r="PY28" s="724"/>
      <c r="PZ28" s="678"/>
      <c r="QA28" s="579">
        <f t="shared" si="163"/>
        <v>0</v>
      </c>
      <c r="QB28" s="516">
        <f>[1]Субсидия_факт!MT26</f>
        <v>0</v>
      </c>
      <c r="QC28" s="838">
        <f>[1]Субсидия_факт!MZ26</f>
        <v>0</v>
      </c>
      <c r="QD28" s="466">
        <f t="shared" si="164"/>
        <v>0</v>
      </c>
      <c r="QE28" s="724"/>
      <c r="QF28" s="987"/>
      <c r="QG28" s="669">
        <f t="shared" si="165"/>
        <v>0</v>
      </c>
      <c r="QH28" s="516">
        <f t="shared" si="166"/>
        <v>0</v>
      </c>
      <c r="QI28" s="838">
        <f t="shared" si="167"/>
        <v>0</v>
      </c>
      <c r="QJ28" s="669">
        <f t="shared" si="168"/>
        <v>0</v>
      </c>
      <c r="QK28" s="516">
        <f t="shared" si="169"/>
        <v>0</v>
      </c>
      <c r="QL28" s="838">
        <f t="shared" si="170"/>
        <v>0</v>
      </c>
      <c r="QM28" s="669">
        <f t="shared" si="171"/>
        <v>0</v>
      </c>
      <c r="QN28" s="516">
        <f>[1]Субсидия_факт!MV26</f>
        <v>0</v>
      </c>
      <c r="QO28" s="838">
        <f>[1]Субсидия_факт!NB26</f>
        <v>0</v>
      </c>
      <c r="QP28" s="669">
        <f t="shared" si="172"/>
        <v>0</v>
      </c>
      <c r="QQ28" s="516">
        <f>[1]Субсидия_факт!NI26</f>
        <v>0</v>
      </c>
      <c r="QR28" s="752">
        <f>[1]Субсидия_факт!NO26</f>
        <v>0</v>
      </c>
      <c r="QS28" s="521">
        <f>'Прочая  субсидия_МР  и  ГО'!B24</f>
        <v>6465689.7699999996</v>
      </c>
      <c r="QT28" s="521">
        <f>'Прочая  субсидия_МР  и  ГО'!C24</f>
        <v>4244048.08</v>
      </c>
      <c r="QU28" s="524">
        <f>'Прочая  субсидия_БП'!B24</f>
        <v>2093262.0300000003</v>
      </c>
      <c r="QV28" s="526">
        <f>'Прочая  субсидия_БП'!C24</f>
        <v>446614.56000000006</v>
      </c>
      <c r="QW28" s="583">
        <f>'Прочая  субсидия_БП'!D24</f>
        <v>2093262.0300000003</v>
      </c>
      <c r="QX28" s="582">
        <f>'Прочая  субсидия_БП'!E24</f>
        <v>446614.56000000006</v>
      </c>
      <c r="QY28" s="588">
        <f>'Прочая  субсидия_БП'!F24</f>
        <v>0</v>
      </c>
      <c r="QZ28" s="583">
        <f>'Прочая  субсидия_БП'!G24</f>
        <v>0</v>
      </c>
      <c r="RA28" s="526">
        <f t="shared" si="173"/>
        <v>234664783.50999999</v>
      </c>
      <c r="RB28" s="525">
        <f>'Проверочная  таблица'!SF28+'Проверочная  таблица'!RG28+'Проверочная  таблица'!RI28+'Проверочная  таблица'!RK28+RX28</f>
        <v>226807645.13999999</v>
      </c>
      <c r="RC28" s="508">
        <f>'Проверочная  таблица'!SG28+'Проверочная  таблица'!RM28+'Проверочная  таблица'!RS28+'Проверочная  таблица'!RO28+'Проверочная  таблица'!RQ28+RU28+RY28+SC28</f>
        <v>7857138.3699999992</v>
      </c>
      <c r="RD28" s="521">
        <f t="shared" si="174"/>
        <v>200963238.22</v>
      </c>
      <c r="RE28" s="506">
        <f>'Проверочная  таблица'!SI28+'Проверочная  таблица'!RH28+'Проверочная  таблица'!RJ28+'Проверочная  таблица'!RL28+SA28</f>
        <v>197102342.56999999</v>
      </c>
      <c r="RF28" s="508">
        <f>'Проверочная  таблица'!SJ28+'Проверочная  таблица'!RN28+'Проверочная  таблица'!RT28+'Проверочная  таблица'!RP28+'Проверочная  таблица'!RR28+RV28+SB28+SD28</f>
        <v>3860895.6500000004</v>
      </c>
      <c r="RG28" s="579">
        <f>'Субвенция  на  полномочия'!B24</f>
        <v>217175909.25999999</v>
      </c>
      <c r="RH28" s="466">
        <f>'Субвенция  на  полномочия'!C24</f>
        <v>190262729.5</v>
      </c>
      <c r="RI28" s="733">
        <f>[1]Субвенция_факт!Q25*1000</f>
        <v>5399798</v>
      </c>
      <c r="RJ28" s="736">
        <v>4250000</v>
      </c>
      <c r="RK28" s="733">
        <f>[1]Субвенция_факт!J25*1000</f>
        <v>1554361</v>
      </c>
      <c r="RL28" s="736">
        <v>1350000</v>
      </c>
      <c r="RM28" s="733">
        <f>[1]Субвенция_факт!AE25*1000</f>
        <v>1509000</v>
      </c>
      <c r="RN28" s="736">
        <v>952132.49000000011</v>
      </c>
      <c r="RO28" s="733">
        <f>[1]Субвенция_факт!AF25*1000</f>
        <v>0</v>
      </c>
      <c r="RP28" s="736">
        <v>0</v>
      </c>
      <c r="RQ28" s="733">
        <f>[1]Субвенция_факт!E25*1000</f>
        <v>0</v>
      </c>
      <c r="RR28" s="736"/>
      <c r="RS28" s="733">
        <f>[1]Субвенция_факт!F25*1000</f>
        <v>0</v>
      </c>
      <c r="RT28" s="827"/>
      <c r="RU28" s="170">
        <f>[1]Субвенция_факт!G25*1000</f>
        <v>0</v>
      </c>
      <c r="RV28" s="1109"/>
      <c r="RW28" s="521">
        <f t="shared" si="88"/>
        <v>6728131.7299999995</v>
      </c>
      <c r="RX28" s="622">
        <f>[1]Субвенция_факт!N25*1000</f>
        <v>1883876.88</v>
      </c>
      <c r="RY28" s="682">
        <f>[1]Субвенция_факт!O25*1000</f>
        <v>4844254.8499999996</v>
      </c>
      <c r="RZ28" s="521">
        <f t="shared" si="89"/>
        <v>2480760.98</v>
      </c>
      <c r="SA28" s="773">
        <v>694613.07</v>
      </c>
      <c r="SB28" s="1279">
        <v>1786147.91</v>
      </c>
      <c r="SC28" s="170">
        <f>[1]Субвенция_факт!AG25*1000</f>
        <v>313883.51999999996</v>
      </c>
      <c r="SD28" s="1277"/>
      <c r="SE28" s="498">
        <f t="shared" si="175"/>
        <v>1983700</v>
      </c>
      <c r="SF28" s="833">
        <f>[1]Субвенция_факт!AD25*1000</f>
        <v>793700</v>
      </c>
      <c r="SG28" s="1562">
        <f>[1]Субвенция_факт!AC25*1000</f>
        <v>1190000</v>
      </c>
      <c r="SH28" s="521">
        <f t="shared" si="176"/>
        <v>1667615.25</v>
      </c>
      <c r="SI28" s="1557">
        <v>545000</v>
      </c>
      <c r="SJ28" s="1635">
        <v>1122615.25</v>
      </c>
      <c r="SK28" s="280">
        <f>'Проверочная  таблица'!VC28+'Проверочная  таблица'!UO28+'Проверочная  таблица'!SY28+'Проверочная  таблица'!TC28+UA28+UG28+TK28+TQ28+SM28+SS28</f>
        <v>17524388.399999999</v>
      </c>
      <c r="SL28" s="170">
        <f>'Проверочная  таблица'!VF28+'Проверочная  таблица'!UV28+'Проверочная  таблица'!TA28+'Проверочная  таблица'!TE28+UD28+UK28+TN28+TT28+SP28+SV28</f>
        <v>11255816.699999999</v>
      </c>
      <c r="SM28" s="524">
        <f t="shared" si="92"/>
        <v>10155600</v>
      </c>
      <c r="SN28" s="833">
        <f>'[1]Иные межбюджетные трансферты'!I26</f>
        <v>0</v>
      </c>
      <c r="SO28" s="880">
        <f>'[1]Иные межбюджетные трансферты'!K26</f>
        <v>10155600</v>
      </c>
      <c r="SP28" s="521">
        <f t="shared" si="93"/>
        <v>7292978.2999999998</v>
      </c>
      <c r="SQ28" s="1421"/>
      <c r="SR28" s="1422">
        <v>7292978.2999999998</v>
      </c>
      <c r="SS28" s="521">
        <f t="shared" si="177"/>
        <v>0</v>
      </c>
      <c r="ST28" s="1082">
        <f>'[1]Иные межбюджетные трансферты'!Y26</f>
        <v>0</v>
      </c>
      <c r="SU28" s="1630">
        <f>'[1]Иные межбюджетные трансферты'!AE26</f>
        <v>0</v>
      </c>
      <c r="SV28" s="521">
        <f t="shared" si="178"/>
        <v>0</v>
      </c>
      <c r="SW28" s="906"/>
      <c r="SX28" s="1422"/>
      <c r="SY28" s="1254">
        <f t="shared" si="94"/>
        <v>0</v>
      </c>
      <c r="SZ28" s="1009">
        <f>'[1]Иные межбюджетные трансферты'!AG26</f>
        <v>0</v>
      </c>
      <c r="TA28" s="899">
        <f t="shared" si="95"/>
        <v>0</v>
      </c>
      <c r="TB28" s="1422"/>
      <c r="TC28" s="903">
        <f t="shared" si="96"/>
        <v>0</v>
      </c>
      <c r="TD28" s="1009">
        <f>'[1]Иные межбюджетные трансферты'!AI26</f>
        <v>0</v>
      </c>
      <c r="TE28" s="899">
        <f t="shared" si="97"/>
        <v>0</v>
      </c>
      <c r="TF28" s="1082"/>
      <c r="TG28" s="901">
        <f t="shared" si="98"/>
        <v>0</v>
      </c>
      <c r="TH28" s="897">
        <f t="shared" si="99"/>
        <v>0</v>
      </c>
      <c r="TI28" s="1086">
        <f t="shared" si="179"/>
        <v>0</v>
      </c>
      <c r="TJ28" s="897">
        <f t="shared" si="180"/>
        <v>0</v>
      </c>
      <c r="TK28" s="903">
        <f t="shared" si="181"/>
        <v>0</v>
      </c>
      <c r="TL28" s="1079"/>
      <c r="TM28" s="682"/>
      <c r="TN28" s="903">
        <f t="shared" si="182"/>
        <v>0</v>
      </c>
      <c r="TO28" s="773"/>
      <c r="TP28" s="686"/>
      <c r="TQ28" s="903">
        <f t="shared" si="183"/>
        <v>0</v>
      </c>
      <c r="TR28" s="1079">
        <f>'[1]Иные межбюджетные трансферты'!AQ26</f>
        <v>0</v>
      </c>
      <c r="TS28" s="682">
        <f>'[1]Иные межбюджетные трансферты'!AU26</f>
        <v>0</v>
      </c>
      <c r="TT28" s="899">
        <f t="shared" si="184"/>
        <v>0</v>
      </c>
      <c r="TU28" s="753"/>
      <c r="TV28" s="771"/>
      <c r="TW28" s="820">
        <f t="shared" si="185"/>
        <v>0</v>
      </c>
      <c r="TX28" s="820">
        <f t="shared" si="186"/>
        <v>0</v>
      </c>
      <c r="TY28" s="820">
        <f t="shared" si="187"/>
        <v>0</v>
      </c>
      <c r="TZ28" s="1199">
        <f t="shared" si="188"/>
        <v>0</v>
      </c>
      <c r="UA28" s="1134">
        <f t="shared" si="100"/>
        <v>0</v>
      </c>
      <c r="UB28" s="945">
        <f>'[1]Иные межбюджетные трансферты'!U26</f>
        <v>0</v>
      </c>
      <c r="UC28" s="1133">
        <f>'[1]Иные межбюджетные трансферты'!W26</f>
        <v>0</v>
      </c>
      <c r="UD28" s="734">
        <f t="shared" si="101"/>
        <v>0</v>
      </c>
      <c r="UE28" s="945"/>
      <c r="UF28" s="1133"/>
      <c r="UG28" s="734">
        <f t="shared" si="189"/>
        <v>0</v>
      </c>
      <c r="UH28" s="945">
        <f>'[1]Иные межбюджетные трансферты'!O26</f>
        <v>0</v>
      </c>
      <c r="UI28" s="1133">
        <f>'[1]Иные межбюджетные трансферты'!Q26</f>
        <v>0</v>
      </c>
      <c r="UJ28" s="1133">
        <f>'[1]Иные межбюджетные трансферты'!S26</f>
        <v>0</v>
      </c>
      <c r="UK28" s="734">
        <f t="shared" si="190"/>
        <v>0</v>
      </c>
      <c r="UL28" s="1513"/>
      <c r="UM28" s="1426"/>
      <c r="UN28" s="1624"/>
      <c r="UO28" s="1585">
        <f t="shared" si="191"/>
        <v>4044051.89</v>
      </c>
      <c r="UP28" s="833">
        <f>'[1]Иные межбюджетные трансферты'!E26</f>
        <v>0</v>
      </c>
      <c r="UQ28" s="880">
        <f>'[1]Иные межбюджетные трансферты'!G26</f>
        <v>0</v>
      </c>
      <c r="UR28" s="830">
        <f>'[1]Иные межбюджетные трансферты'!M26</f>
        <v>3405950</v>
      </c>
      <c r="US28" s="1044"/>
      <c r="UT28" s="1498">
        <f>'[1]Иные межбюджетные трансферты'!AY26</f>
        <v>0</v>
      </c>
      <c r="UU28" s="1539">
        <f>'[1]Иные межбюджетные трансферты'!BA26</f>
        <v>638101.89</v>
      </c>
      <c r="UV28" s="834">
        <f t="shared" si="192"/>
        <v>638101.89</v>
      </c>
      <c r="UW28" s="908"/>
      <c r="UX28" s="906"/>
      <c r="UY28" s="1425">
        <v>0</v>
      </c>
      <c r="UZ28" s="516"/>
      <c r="VA28" s="518">
        <f t="shared" si="102"/>
        <v>0</v>
      </c>
      <c r="VB28" s="516">
        <f t="shared" si="193"/>
        <v>638101.89</v>
      </c>
      <c r="VC28" s="899">
        <f t="shared" si="194"/>
        <v>3324736.5100000002</v>
      </c>
      <c r="VD28" s="830">
        <f>'[1]Иные межбюджетные трансферты'!AM26</f>
        <v>0</v>
      </c>
      <c r="VE28" s="1587">
        <f>'[1]Иные межбюджетные трансферты'!BC26</f>
        <v>3324736.5100000002</v>
      </c>
      <c r="VF28" s="1495">
        <f t="shared" si="195"/>
        <v>3324736.5100000002</v>
      </c>
      <c r="VG28" s="753"/>
      <c r="VH28" s="1251">
        <f t="shared" si="196"/>
        <v>3324736.5100000002</v>
      </c>
      <c r="VI28" s="1199">
        <f t="shared" si="197"/>
        <v>3324736.5100000002</v>
      </c>
      <c r="VJ28" s="516">
        <f>'Проверочная  таблица'!VD28-VP28</f>
        <v>0</v>
      </c>
      <c r="VK28" s="516">
        <f>'Проверочная  таблица'!VE28-VQ28</f>
        <v>3324736.5100000002</v>
      </c>
      <c r="VL28" s="1199">
        <f t="shared" si="198"/>
        <v>3324736.5100000002</v>
      </c>
      <c r="VM28" s="516">
        <f>'Проверочная  таблица'!VG28-VS28</f>
        <v>0</v>
      </c>
      <c r="VN28" s="516">
        <f>'Проверочная  таблица'!VH28-VT28</f>
        <v>3324736.5100000002</v>
      </c>
      <c r="VO28" s="1199">
        <f t="shared" si="199"/>
        <v>0</v>
      </c>
      <c r="VP28" s="833">
        <f>'[1]Иные межбюджетные трансферты'!AO26</f>
        <v>0</v>
      </c>
      <c r="VQ28" s="830">
        <f>'[1]Иные межбюджетные трансферты'!BE26</f>
        <v>0</v>
      </c>
      <c r="VR28" s="1501">
        <f t="shared" si="200"/>
        <v>0</v>
      </c>
      <c r="VS28" s="1492"/>
      <c r="VT28" s="518">
        <f t="shared" si="201"/>
        <v>0</v>
      </c>
      <c r="VU28" s="521">
        <f>VW28+'Проверочная  таблица'!WE28+WA28+'Проверочная  таблица'!WI28+WC28+'Проверочная  таблица'!WK28</f>
        <v>0</v>
      </c>
      <c r="VV28" s="521">
        <f>VX28+'Проверочная  таблица'!WF28+WB28+'Проверочная  таблица'!WJ28+WD28+'Проверочная  таблица'!WL28</f>
        <v>0</v>
      </c>
      <c r="VW28" s="533"/>
      <c r="VX28" s="533"/>
      <c r="VY28" s="533"/>
      <c r="VZ28" s="533"/>
      <c r="WA28" s="530">
        <f t="shared" si="103"/>
        <v>0</v>
      </c>
      <c r="WB28" s="528">
        <f t="shared" si="104"/>
        <v>0</v>
      </c>
      <c r="WC28" s="534"/>
      <c r="WD28" s="523"/>
      <c r="WE28" s="533"/>
      <c r="WF28" s="533"/>
      <c r="WG28" s="533"/>
      <c r="WH28" s="533"/>
      <c r="WI28" s="530">
        <f t="shared" si="105"/>
        <v>0</v>
      </c>
      <c r="WJ28" s="528">
        <f t="shared" si="106"/>
        <v>0</v>
      </c>
      <c r="WK28" s="523"/>
      <c r="WL28" s="523"/>
      <c r="WM28" s="252">
        <f>'Проверочная  таблица'!WE28+'Проверочная  таблица'!WG28</f>
        <v>0</v>
      </c>
      <c r="WN28" s="252">
        <f>'Проверочная  таблица'!WF28+'Проверочная  таблица'!WH28</f>
        <v>0</v>
      </c>
    </row>
    <row r="29" spans="1:613" s="338" customFormat="1" ht="25.5" customHeight="1" thickBot="1" x14ac:dyDescent="0.3">
      <c r="A29" s="349" t="s">
        <v>96</v>
      </c>
      <c r="B29" s="537">
        <f>D29+AI29+'Проверочная  таблица'!RA29+'Проверочная  таблица'!SK29</f>
        <v>640175070.28999996</v>
      </c>
      <c r="C29" s="536">
        <f>E29+'Проверочная  таблица'!RD29+AJ29+'Проверочная  таблица'!SL29</f>
        <v>430925044.05000001</v>
      </c>
      <c r="D29" s="535">
        <f t="shared" si="0"/>
        <v>90564238</v>
      </c>
      <c r="E29" s="858">
        <f t="shared" si="1"/>
        <v>71616636</v>
      </c>
      <c r="F29" s="958">
        <f>'[1]Дотация  из  ОБ_факт'!M25</f>
        <v>2028899.9999999998</v>
      </c>
      <c r="G29" s="964">
        <v>1352000</v>
      </c>
      <c r="H29" s="958">
        <f>'[1]Дотация  из  ОБ_факт'!G25</f>
        <v>36760000</v>
      </c>
      <c r="I29" s="964">
        <v>27693000</v>
      </c>
      <c r="J29" s="954">
        <f t="shared" si="2"/>
        <v>36146000</v>
      </c>
      <c r="K29" s="955">
        <f t="shared" si="3"/>
        <v>27231000</v>
      </c>
      <c r="L29" s="962">
        <f>'[1]Дотация  из  ОБ_факт'!K25</f>
        <v>614000</v>
      </c>
      <c r="M29" s="1447">
        <v>462000</v>
      </c>
      <c r="N29" s="958">
        <f>'[1]Дотация  из  ОБ_факт'!Q25</f>
        <v>3331270.9999999995</v>
      </c>
      <c r="O29" s="964">
        <v>1508200</v>
      </c>
      <c r="P29" s="958">
        <f>'[1]Дотация  из  ОБ_факт'!S25</f>
        <v>45681066.999999993</v>
      </c>
      <c r="Q29" s="1443">
        <v>38300436</v>
      </c>
      <c r="R29" s="955">
        <f t="shared" si="4"/>
        <v>35813712.999999993</v>
      </c>
      <c r="S29" s="1040">
        <f t="shared" si="5"/>
        <v>28636479</v>
      </c>
      <c r="T29" s="962">
        <f>'[1]Дотация  из  ОБ_факт'!W25</f>
        <v>9867354.0000000019</v>
      </c>
      <c r="U29" s="1449">
        <v>9663957</v>
      </c>
      <c r="V29" s="958">
        <f>'[1]Дотация  из  ОБ_факт'!AA25+'[1]Дотация  из  ОБ_факт'!AC25+'[1]Дотация  из  ОБ_факт'!AG25</f>
        <v>1200000</v>
      </c>
      <c r="W29" s="1039">
        <f t="shared" si="6"/>
        <v>1200000</v>
      </c>
      <c r="X29" s="956">
        <v>1200000</v>
      </c>
      <c r="Y29" s="957"/>
      <c r="Z29" s="956"/>
      <c r="AA29" s="958">
        <f>'[1]Дотация  из  ОБ_факт'!Y25+'[1]Дотация  из  ОБ_факт'!AE25</f>
        <v>1563000</v>
      </c>
      <c r="AB29" s="173">
        <f t="shared" si="7"/>
        <v>1563000</v>
      </c>
      <c r="AC29" s="957">
        <v>663000</v>
      </c>
      <c r="AD29" s="956">
        <v>900000</v>
      </c>
      <c r="AE29" s="954">
        <f t="shared" si="8"/>
        <v>663000</v>
      </c>
      <c r="AF29" s="955">
        <f t="shared" si="9"/>
        <v>663000</v>
      </c>
      <c r="AG29" s="1510">
        <f>'[1]Дотация  из  ОБ_факт'!AE25</f>
        <v>900000</v>
      </c>
      <c r="AH29" s="1481">
        <f t="shared" si="107"/>
        <v>900000</v>
      </c>
      <c r="AI29" s="579">
        <f>'Проверочная  таблица'!KW29+'Проверочная  таблица'!QS29+'Проверочная  таблица'!QU29+CS29+CU29+DA29+DC29+BU29+CE29+'Проверочная  таблица'!IQ29+'Проверочная  таблица'!JK29+'Проверочная  таблица'!EE29+'Проверочная  таблица'!KO29+DQ29+'Проверочная  таблица'!HQ29+'Проверочная  таблица'!HW29+'Проверочная  таблица'!LA29+'Проверочная  таблица'!LI29+HK29+FQ29+FE29+NK29+EY29+AK29+AW29+FK29+GM29+GS29+DI29+NQ29+FW29+EK29+OE29+MG29+GG29+PU29+QA29</f>
        <v>125930936.57000001</v>
      </c>
      <c r="AJ29" s="498">
        <f>'Проверочная  таблица'!KY29+'Проверочная  таблица'!QT29+'Проверочная  таблица'!QV29+CT29+CV29+DB29+DD29+BZ29+CJ29+'Проверочная  таблица'!JA29+'Проверочная  таблица'!JP29+'Проверочная  таблица'!EH29+'Проверочная  таблица'!KS29+DX29+'Проверочная  таблица'!HT29+'Проверочная  таблица'!HZ29+'Проверочная  таблица'!LE29+'Проверочная  таблица'!LM29+HN29+FN29+FT29+FH29+NN29+FB29+AQ29+BA29+GP29+GV29+DM29+NX29+FZ29+ER29+OL29+ML29+GJ29+PX29+QD29</f>
        <v>47693873.800000004</v>
      </c>
      <c r="AK29" s="466">
        <f t="shared" si="108"/>
        <v>0</v>
      </c>
      <c r="AL29" s="525">
        <f>[1]Субсидия_факт!CD27</f>
        <v>0</v>
      </c>
      <c r="AM29" s="508">
        <f>[1]Субсидия_факт!EX27</f>
        <v>0</v>
      </c>
      <c r="AN29" s="506">
        <f>[1]Субсидия_факт!FJ27</f>
        <v>0</v>
      </c>
      <c r="AO29" s="525">
        <f>[1]Субсидия_факт!LT27</f>
        <v>0</v>
      </c>
      <c r="AP29" s="623">
        <f>[1]Субсидия_факт!LZ27</f>
        <v>0</v>
      </c>
      <c r="AQ29" s="748">
        <f t="shared" si="109"/>
        <v>0</v>
      </c>
      <c r="AR29" s="877"/>
      <c r="AS29" s="877"/>
      <c r="AT29" s="877"/>
      <c r="AU29" s="877"/>
      <c r="AV29" s="542"/>
      <c r="AW29" s="498">
        <f t="shared" si="10"/>
        <v>0</v>
      </c>
      <c r="AX29" s="967">
        <f>[1]Субсидия_факт!CF27</f>
        <v>0</v>
      </c>
      <c r="AY29" s="509">
        <f>[1]Субсидия_факт!FB27</f>
        <v>0</v>
      </c>
      <c r="AZ29" s="944">
        <f>[1]Субсидия_факт!LV27</f>
        <v>0</v>
      </c>
      <c r="BA29" s="466">
        <f t="shared" si="11"/>
        <v>0</v>
      </c>
      <c r="BB29" s="542"/>
      <c r="BC29" s="542"/>
      <c r="BD29" s="543"/>
      <c r="BE29" s="669">
        <f t="shared" si="12"/>
        <v>0</v>
      </c>
      <c r="BF29" s="653">
        <f t="shared" si="13"/>
        <v>0</v>
      </c>
      <c r="BG29" s="465">
        <f t="shared" si="14"/>
        <v>0</v>
      </c>
      <c r="BH29" s="343">
        <f t="shared" si="15"/>
        <v>0</v>
      </c>
      <c r="BI29" s="669">
        <f t="shared" si="16"/>
        <v>0</v>
      </c>
      <c r="BJ29" s="623">
        <f t="shared" si="17"/>
        <v>0</v>
      </c>
      <c r="BK29" s="507">
        <f t="shared" si="18"/>
        <v>0</v>
      </c>
      <c r="BL29" s="343">
        <f t="shared" si="19"/>
        <v>0</v>
      </c>
      <c r="BM29" s="667">
        <f t="shared" si="20"/>
        <v>0</v>
      </c>
      <c r="BN29" s="967">
        <f>[1]Субсидия_факт!CH27</f>
        <v>0</v>
      </c>
      <c r="BO29" s="509">
        <f>[1]Субсидия_факт!FD27</f>
        <v>0</v>
      </c>
      <c r="BP29" s="944">
        <f>[1]Субсидия_факт!LX27</f>
        <v>0</v>
      </c>
      <c r="BQ29" s="1081">
        <f t="shared" si="21"/>
        <v>0</v>
      </c>
      <c r="BR29" s="543"/>
      <c r="BS29" s="542"/>
      <c r="BT29" s="543"/>
      <c r="BU29" s="536">
        <f t="shared" si="110"/>
        <v>62169711.989999995</v>
      </c>
      <c r="BV29" s="562">
        <f>[1]Субсидия_факт!HB27</f>
        <v>0</v>
      </c>
      <c r="BW29" s="516">
        <f>[1]Субсидия_факт!HH27</f>
        <v>62169711.989999995</v>
      </c>
      <c r="BX29" s="542">
        <f>[1]Субсидия_факт!HP27</f>
        <v>0</v>
      </c>
      <c r="BY29" s="562">
        <f>[1]Субсидия_факт!HV27</f>
        <v>0</v>
      </c>
      <c r="BZ29" s="536">
        <f t="shared" si="111"/>
        <v>25509637.829999998</v>
      </c>
      <c r="CA29" s="542"/>
      <c r="CB29" s="542">
        <v>25509637.829999998</v>
      </c>
      <c r="CC29" s="821"/>
      <c r="CD29" s="821"/>
      <c r="CE29" s="537">
        <f t="shared" si="112"/>
        <v>0</v>
      </c>
      <c r="CF29" s="967">
        <f>[1]Субсидия_факт!HD27</f>
        <v>0</v>
      </c>
      <c r="CG29" s="967">
        <f>[1]Субсидия_факт!HJ27</f>
        <v>0</v>
      </c>
      <c r="CH29" s="542">
        <f>[1]Субсидия_факт!HR27</f>
        <v>0</v>
      </c>
      <c r="CI29" s="944">
        <f>[1]Субсидия_факт!HX27</f>
        <v>0</v>
      </c>
      <c r="CJ29" s="536">
        <f t="shared" si="113"/>
        <v>0</v>
      </c>
      <c r="CK29" s="542"/>
      <c r="CL29" s="543"/>
      <c r="CM29" s="821"/>
      <c r="CN29" s="850"/>
      <c r="CO29" s="540">
        <f t="shared" si="22"/>
        <v>0</v>
      </c>
      <c r="CP29" s="539">
        <f t="shared" si="23"/>
        <v>0</v>
      </c>
      <c r="CQ29" s="538">
        <f t="shared" si="114"/>
        <v>0</v>
      </c>
      <c r="CR29" s="540">
        <f t="shared" si="115"/>
        <v>0</v>
      </c>
      <c r="CS29" s="828">
        <f>[1]Субсидия_факт!FL27</f>
        <v>0</v>
      </c>
      <c r="CT29" s="876"/>
      <c r="CU29" s="536">
        <f>[1]Субсидия_факт!FN27</f>
        <v>0</v>
      </c>
      <c r="CV29" s="876"/>
      <c r="CW29" s="539">
        <f t="shared" si="24"/>
        <v>0</v>
      </c>
      <c r="CX29" s="538">
        <f t="shared" si="25"/>
        <v>0</v>
      </c>
      <c r="CY29" s="918">
        <f>[1]Субсидия_факт!FP27</f>
        <v>0</v>
      </c>
      <c r="CZ29" s="1481">
        <f t="shared" si="205"/>
        <v>0</v>
      </c>
      <c r="DA29" s="537">
        <f>[1]Субсидия_факт!FR27</f>
        <v>0</v>
      </c>
      <c r="DB29" s="1047"/>
      <c r="DC29" s="535">
        <f>[1]Субсидия_факт!FT27</f>
        <v>0</v>
      </c>
      <c r="DD29" s="1047"/>
      <c r="DE29" s="1239">
        <f t="shared" si="26"/>
        <v>0</v>
      </c>
      <c r="DF29" s="870">
        <f t="shared" si="27"/>
        <v>0</v>
      </c>
      <c r="DG29" s="663">
        <f>[1]Субсидия_факт!FV27</f>
        <v>0</v>
      </c>
      <c r="DH29" s="1478">
        <f t="shared" si="116"/>
        <v>0</v>
      </c>
      <c r="DI29" s="498">
        <f t="shared" si="117"/>
        <v>0</v>
      </c>
      <c r="DJ29" s="625">
        <f>[1]Субсидия_факт!EV27</f>
        <v>0</v>
      </c>
      <c r="DK29" s="516">
        <f>[1]Субсидия_факт!EL27</f>
        <v>0</v>
      </c>
      <c r="DL29" s="838">
        <f>[1]Субсидия_факт!EN27</f>
        <v>0</v>
      </c>
      <c r="DM29" s="466">
        <f t="shared" si="118"/>
        <v>0</v>
      </c>
      <c r="DN29" s="821"/>
      <c r="DO29" s="821"/>
      <c r="DP29" s="1021"/>
      <c r="DQ29" s="537">
        <f t="shared" si="28"/>
        <v>0</v>
      </c>
      <c r="DR29" s="1508">
        <f>[1]Субсидия_факт!N27</f>
        <v>0</v>
      </c>
      <c r="DS29" s="854">
        <f>[1]Субсидия_факт!P27</f>
        <v>0</v>
      </c>
      <c r="DT29" s="855">
        <f>[1]Субсидия_факт!R27</f>
        <v>0</v>
      </c>
      <c r="DU29" s="1452">
        <f>[1]Субсидия_факт!T27</f>
        <v>0</v>
      </c>
      <c r="DV29" s="1451">
        <f>[1]Субсидия_факт!V27</f>
        <v>0</v>
      </c>
      <c r="DW29" s="1452">
        <f>[1]Субсидия_факт!X27</f>
        <v>0</v>
      </c>
      <c r="DX29" s="536">
        <f t="shared" si="29"/>
        <v>0</v>
      </c>
      <c r="DY29" s="543"/>
      <c r="DZ29" s="542"/>
      <c r="EA29" s="688"/>
      <c r="EB29" s="542"/>
      <c r="EC29" s="688"/>
      <c r="ED29" s="542"/>
      <c r="EE29" s="839">
        <f t="shared" si="30"/>
        <v>0</v>
      </c>
      <c r="EF29" s="516">
        <f>[1]Субсидия_факт!BL27</f>
        <v>0</v>
      </c>
      <c r="EG29" s="838">
        <f>[1]Субсидия_факт!BN27</f>
        <v>0</v>
      </c>
      <c r="EH29" s="841">
        <f t="shared" si="31"/>
        <v>0</v>
      </c>
      <c r="EI29" s="851"/>
      <c r="EJ29" s="1021"/>
      <c r="EK29" s="537">
        <f t="shared" si="32"/>
        <v>0</v>
      </c>
      <c r="EL29" s="1450">
        <f>[1]Субсидия_факт!AF27</f>
        <v>0</v>
      </c>
      <c r="EM29" s="1451">
        <f>[1]Субсидия_факт!AH27</f>
        <v>0</v>
      </c>
      <c r="EN29" s="1452">
        <f>[1]Субсидия_факт!AJ27</f>
        <v>0</v>
      </c>
      <c r="EO29" s="1463">
        <f>[1]Субсидия_факт!AL27</f>
        <v>0</v>
      </c>
      <c r="EP29" s="623">
        <f>[1]Субсидия_факт!AN27</f>
        <v>0</v>
      </c>
      <c r="EQ29" s="1464">
        <f>[1]Субсидия_факт!AP27</f>
        <v>0</v>
      </c>
      <c r="ER29" s="536">
        <f t="shared" si="33"/>
        <v>0</v>
      </c>
      <c r="ES29" s="1017"/>
      <c r="ET29" s="688"/>
      <c r="EU29" s="1017"/>
      <c r="EV29" s="688"/>
      <c r="EW29" s="1017"/>
      <c r="EX29" s="688"/>
      <c r="EY29" s="839">
        <f t="shared" si="34"/>
        <v>0</v>
      </c>
      <c r="EZ29" s="516">
        <f>[1]Субсидия_факт!AV27</f>
        <v>0</v>
      </c>
      <c r="FA29" s="752">
        <f>[1]Субсидия_факт!AX27</f>
        <v>0</v>
      </c>
      <c r="FB29" s="841">
        <f t="shared" si="35"/>
        <v>0</v>
      </c>
      <c r="FC29" s="851"/>
      <c r="FD29" s="684"/>
      <c r="FE29" s="839">
        <f t="shared" si="36"/>
        <v>0</v>
      </c>
      <c r="FF29" s="516">
        <f>[1]Субсидия_факт!BT27</f>
        <v>0</v>
      </c>
      <c r="FG29" s="838">
        <f>[1]Субсидия_факт!BV27</f>
        <v>0</v>
      </c>
      <c r="FH29" s="841">
        <f t="shared" si="37"/>
        <v>0</v>
      </c>
      <c r="FI29" s="851"/>
      <c r="FJ29" s="684"/>
      <c r="FK29" s="839">
        <f t="shared" si="38"/>
        <v>0</v>
      </c>
      <c r="FL29" s="516">
        <f>[1]Субсидия_факт!BP27</f>
        <v>0</v>
      </c>
      <c r="FM29" s="838">
        <f>[1]Субсидия_факт!BR27</f>
        <v>0</v>
      </c>
      <c r="FN29" s="841">
        <f t="shared" si="39"/>
        <v>0</v>
      </c>
      <c r="FO29" s="851"/>
      <c r="FP29" s="684"/>
      <c r="FQ29" s="839">
        <f t="shared" si="40"/>
        <v>0</v>
      </c>
      <c r="FR29" s="516">
        <f>[1]Субсидия_факт!IV27</f>
        <v>0</v>
      </c>
      <c r="FS29" s="838">
        <f>[1]Субсидия_факт!IX27</f>
        <v>0</v>
      </c>
      <c r="FT29" s="841">
        <f t="shared" si="41"/>
        <v>0</v>
      </c>
      <c r="FU29" s="851"/>
      <c r="FV29" s="684"/>
      <c r="FW29" s="839">
        <f t="shared" si="42"/>
        <v>0</v>
      </c>
      <c r="FX29" s="516">
        <f>[1]Субсидия_факт!IZ27</f>
        <v>0</v>
      </c>
      <c r="FY29" s="838">
        <f>[1]Субсидия_факт!JD27</f>
        <v>0</v>
      </c>
      <c r="FZ29" s="841">
        <f t="shared" si="43"/>
        <v>0</v>
      </c>
      <c r="GA29" s="851"/>
      <c r="GB29" s="684"/>
      <c r="GC29" s="667">
        <f t="shared" si="119"/>
        <v>0</v>
      </c>
      <c r="GD29" s="669">
        <f t="shared" si="120"/>
        <v>0</v>
      </c>
      <c r="GE29" s="667">
        <f t="shared" si="121"/>
        <v>0</v>
      </c>
      <c r="GF29" s="669">
        <f t="shared" si="122"/>
        <v>0</v>
      </c>
      <c r="GG29" s="498">
        <f t="shared" si="123"/>
        <v>0</v>
      </c>
      <c r="GH29" s="1251">
        <f>[1]Субсидия_факт!BH27</f>
        <v>0</v>
      </c>
      <c r="GI29" s="676">
        <f>[1]Субсидия_факт!BJ27</f>
        <v>0</v>
      </c>
      <c r="GJ29" s="498">
        <f t="shared" si="124"/>
        <v>0</v>
      </c>
      <c r="GK29" s="724"/>
      <c r="GL29" s="678"/>
      <c r="GM29" s="839">
        <f t="shared" si="44"/>
        <v>0</v>
      </c>
      <c r="GN29" s="516"/>
      <c r="GO29" s="838"/>
      <c r="GP29" s="841">
        <f t="shared" si="45"/>
        <v>0</v>
      </c>
      <c r="GQ29" s="724"/>
      <c r="GR29" s="678"/>
      <c r="GS29" s="839">
        <f t="shared" si="46"/>
        <v>0</v>
      </c>
      <c r="GT29" s="516">
        <f>[1]Субсидия_факт!FZ27</f>
        <v>0</v>
      </c>
      <c r="GU29" s="838">
        <f>[1]Субсидия_факт!GD27</f>
        <v>0</v>
      </c>
      <c r="GV29" s="841">
        <f t="shared" si="47"/>
        <v>0</v>
      </c>
      <c r="GW29" s="724"/>
      <c r="GX29" s="678"/>
      <c r="GY29" s="1123">
        <f t="shared" si="48"/>
        <v>0</v>
      </c>
      <c r="GZ29" s="516">
        <f t="shared" si="125"/>
        <v>0</v>
      </c>
      <c r="HA29" s="838">
        <f t="shared" si="125"/>
        <v>0</v>
      </c>
      <c r="HB29" s="842">
        <f t="shared" si="49"/>
        <v>0</v>
      </c>
      <c r="HC29" s="516">
        <f t="shared" si="125"/>
        <v>0</v>
      </c>
      <c r="HD29" s="838">
        <f t="shared" si="125"/>
        <v>0</v>
      </c>
      <c r="HE29" s="1123">
        <f t="shared" si="50"/>
        <v>0</v>
      </c>
      <c r="HF29" s="516">
        <f>[1]Субсидия_факт!GB27</f>
        <v>0</v>
      </c>
      <c r="HG29" s="838">
        <f>[1]Субсидия_факт!GF27</f>
        <v>0</v>
      </c>
      <c r="HH29" s="842">
        <f t="shared" si="51"/>
        <v>0</v>
      </c>
      <c r="HI29" s="724"/>
      <c r="HJ29" s="678"/>
      <c r="HK29" s="537">
        <f t="shared" si="126"/>
        <v>0</v>
      </c>
      <c r="HL29" s="852">
        <f>[1]Субсидия_факт!DD27</f>
        <v>0</v>
      </c>
      <c r="HM29" s="848">
        <f>[1]Субсидия_факт!DF27</f>
        <v>0</v>
      </c>
      <c r="HN29" s="536">
        <f t="shared" si="127"/>
        <v>0</v>
      </c>
      <c r="HO29" s="542"/>
      <c r="HP29" s="707"/>
      <c r="HQ29" s="849">
        <f t="shared" si="54"/>
        <v>1200017.0900000001</v>
      </c>
      <c r="HR29" s="516">
        <f>[1]Субсидия_факт!CR27</f>
        <v>336004.80000000005</v>
      </c>
      <c r="HS29" s="838">
        <f>[1]Субсидия_факт!CX27</f>
        <v>864012.29</v>
      </c>
      <c r="HT29" s="841">
        <f t="shared" si="55"/>
        <v>278853.99</v>
      </c>
      <c r="HU29" s="850">
        <v>78079.12</v>
      </c>
      <c r="HV29" s="684">
        <v>200774.87</v>
      </c>
      <c r="HW29" s="841">
        <f t="shared" si="56"/>
        <v>197657.87999999998</v>
      </c>
      <c r="HX29" s="516">
        <f>[1]Субсидия_факт!CT27</f>
        <v>55344.21000000005</v>
      </c>
      <c r="HY29" s="752">
        <f>[1]Субсидия_факт!CZ27</f>
        <v>142313.66999999993</v>
      </c>
      <c r="HZ29" s="841">
        <f t="shared" si="57"/>
        <v>197657.87999999998</v>
      </c>
      <c r="IA29" s="757">
        <f t="shared" si="128"/>
        <v>55344.209999999992</v>
      </c>
      <c r="IB29" s="789">
        <f t="shared" si="129"/>
        <v>142313.66999999998</v>
      </c>
      <c r="IC29" s="821">
        <v>133423.32999999999</v>
      </c>
      <c r="ID29" s="749">
        <v>343088.54</v>
      </c>
      <c r="IE29" s="842">
        <f t="shared" si="58"/>
        <v>197657.87999999998</v>
      </c>
      <c r="IF29" s="843">
        <f>'Проверочная  таблица'!HX29-'Проверочная  таблица'!IL29</f>
        <v>55344.21000000005</v>
      </c>
      <c r="IG29" s="844">
        <f>'Проверочная  таблица'!HY29-'Проверочная  таблица'!IM29</f>
        <v>142313.66999999993</v>
      </c>
      <c r="IH29" s="845">
        <f t="shared" si="59"/>
        <v>197657.87999999998</v>
      </c>
      <c r="II29" s="846">
        <f>'Проверочная  таблица'!IA29-'Проверочная  таблица'!IO29</f>
        <v>55344.209999999992</v>
      </c>
      <c r="IJ29" s="847">
        <f>'Проверочная  таблица'!IB29-'Проверочная  таблица'!IP29</f>
        <v>142313.66999999998</v>
      </c>
      <c r="IK29" s="842">
        <f t="shared" si="60"/>
        <v>0</v>
      </c>
      <c r="IL29" s="516">
        <f>[1]Субсидия_факт!CV27</f>
        <v>0</v>
      </c>
      <c r="IM29" s="838">
        <f>[1]Субсидия_факт!DB27</f>
        <v>0</v>
      </c>
      <c r="IN29" s="842">
        <f t="shared" si="61"/>
        <v>0</v>
      </c>
      <c r="IO29" s="850"/>
      <c r="IP29" s="684"/>
      <c r="IQ29" s="466">
        <f t="shared" si="130"/>
        <v>0</v>
      </c>
      <c r="IR29" s="757">
        <f>[1]Субсидия_факт!CJ27</f>
        <v>0</v>
      </c>
      <c r="IS29" s="676">
        <f>[1]Субсидия_факт!CN27</f>
        <v>0</v>
      </c>
      <c r="IT29" s="757">
        <f>[1]Субсидия_факт!DH27</f>
        <v>0</v>
      </c>
      <c r="IU29" s="676">
        <f>[1]Субсидия_факт!DN27</f>
        <v>0</v>
      </c>
      <c r="IV29" s="967">
        <f>[1]Субсидия_факт!DX27</f>
        <v>0</v>
      </c>
      <c r="IW29" s="690">
        <f>[1]Субсидия_факт!DZ27</f>
        <v>0</v>
      </c>
      <c r="IX29" s="1295">
        <f>[1]Субсидия_факт!DT27</f>
        <v>0</v>
      </c>
      <c r="IY29" s="676">
        <f>[1]Субсидия_факт!DV27</f>
        <v>0</v>
      </c>
      <c r="IZ29" s="516">
        <f>[1]Субсидия_факт!EB27</f>
        <v>0</v>
      </c>
      <c r="JA29" s="466">
        <f t="shared" si="131"/>
        <v>0</v>
      </c>
      <c r="JB29" s="625"/>
      <c r="JC29" s="684"/>
      <c r="JD29" s="821"/>
      <c r="JE29" s="684"/>
      <c r="JF29" s="542"/>
      <c r="JG29" s="707"/>
      <c r="JH29" s="821"/>
      <c r="JI29" s="684"/>
      <c r="JJ29" s="757">
        <f t="shared" si="132"/>
        <v>0</v>
      </c>
      <c r="JK29" s="748">
        <f t="shared" si="133"/>
        <v>0</v>
      </c>
      <c r="JL29" s="757">
        <f>[1]Субсидия_факт!CL27</f>
        <v>0</v>
      </c>
      <c r="JM29" s="676">
        <f>[1]Субсидия_факт!CP27</f>
        <v>0</v>
      </c>
      <c r="JN29" s="757">
        <f>[1]Субсидия_факт!DJ27</f>
        <v>0</v>
      </c>
      <c r="JO29" s="676">
        <f>[1]Субсидия_факт!DP27</f>
        <v>0</v>
      </c>
      <c r="JP29" s="748">
        <f t="shared" si="134"/>
        <v>0</v>
      </c>
      <c r="JQ29" s="625"/>
      <c r="JR29" s="684"/>
      <c r="JS29" s="821"/>
      <c r="JT29" s="684"/>
      <c r="JU29" s="918">
        <f t="shared" si="135"/>
        <v>0</v>
      </c>
      <c r="JV29" s="846">
        <f>'Проверочная  таблица'!JL29-KF29</f>
        <v>0</v>
      </c>
      <c r="JW29" s="844">
        <f>'Проверочная  таблица'!JM29-KG29</f>
        <v>0</v>
      </c>
      <c r="JX29" s="846">
        <f>'Проверочная  таблица'!JN29-KH29</f>
        <v>0</v>
      </c>
      <c r="JY29" s="844">
        <f>'Проверочная  таблица'!JO29-KI29</f>
        <v>0</v>
      </c>
      <c r="JZ29" s="918">
        <f t="shared" si="136"/>
        <v>0</v>
      </c>
      <c r="KA29" s="846">
        <f>'Проверочная  таблица'!JQ29-KK29</f>
        <v>0</v>
      </c>
      <c r="KB29" s="844">
        <f>'Проверочная  таблица'!JR29-KL29</f>
        <v>0</v>
      </c>
      <c r="KC29" s="991">
        <f>'Проверочная  таблица'!JS29-KM29</f>
        <v>0</v>
      </c>
      <c r="KD29" s="992">
        <f>'Проверочная  таблица'!JT29-KN29</f>
        <v>0</v>
      </c>
      <c r="KE29" s="918">
        <f t="shared" si="137"/>
        <v>0</v>
      </c>
      <c r="KF29" s="625"/>
      <c r="KG29" s="684"/>
      <c r="KH29" s="757">
        <f>[1]Субсидия_факт!DL27</f>
        <v>0</v>
      </c>
      <c r="KI29" s="1519">
        <f>[1]Субсидия_факт!DR27</f>
        <v>0</v>
      </c>
      <c r="KJ29" s="918">
        <f t="shared" si="138"/>
        <v>0</v>
      </c>
      <c r="KK29" s="753"/>
      <c r="KL29" s="684"/>
      <c r="KM29" s="821"/>
      <c r="KN29" s="684"/>
      <c r="KO29" s="579">
        <f t="shared" si="139"/>
        <v>0</v>
      </c>
      <c r="KP29" s="516">
        <f>[1]Субсидия_факт!BX27</f>
        <v>0</v>
      </c>
      <c r="KQ29" s="838">
        <f>[1]Субсидия_факт!BZ27</f>
        <v>0</v>
      </c>
      <c r="KR29" s="516">
        <f>[1]Субсидия_факт!CB27</f>
        <v>0</v>
      </c>
      <c r="KS29" s="466">
        <f t="shared" si="140"/>
        <v>0</v>
      </c>
      <c r="KT29" s="821"/>
      <c r="KU29" s="684"/>
      <c r="KV29" s="821"/>
      <c r="KW29" s="498">
        <f t="shared" si="62"/>
        <v>0</v>
      </c>
      <c r="KX29" s="508">
        <f>[1]Субсидия_факт!GN27</f>
        <v>0</v>
      </c>
      <c r="KY29" s="466">
        <f t="shared" si="63"/>
        <v>0</v>
      </c>
      <c r="KZ29" s="821"/>
      <c r="LA29" s="754">
        <f t="shared" si="206"/>
        <v>0</v>
      </c>
      <c r="LB29" s="516">
        <f>[1]Субсидия_факт!JT27</f>
        <v>0</v>
      </c>
      <c r="LC29" s="838">
        <f>[1]Субсидия_факт!JZ27</f>
        <v>0</v>
      </c>
      <c r="LD29" s="508"/>
      <c r="LE29" s="754">
        <f t="shared" si="207"/>
        <v>0</v>
      </c>
      <c r="LF29" s="851"/>
      <c r="LG29" s="684"/>
      <c r="LH29" s="821"/>
      <c r="LI29" s="754">
        <f t="shared" si="141"/>
        <v>18676577.379999999</v>
      </c>
      <c r="LJ29" s="516">
        <f>[1]Субсидия_факт!JV27</f>
        <v>762709.59</v>
      </c>
      <c r="LK29" s="838">
        <f>[1]Субсидия_факт!KB27</f>
        <v>14491482.17</v>
      </c>
      <c r="LL29" s="518">
        <f>[1]Субсидия_факт!KF27</f>
        <v>3422385.62</v>
      </c>
      <c r="LM29" s="754">
        <f t="shared" si="142"/>
        <v>10004105.77</v>
      </c>
      <c r="LN29" s="821">
        <v>500205.28</v>
      </c>
      <c r="LO29" s="767">
        <v>9503900.4900000002</v>
      </c>
      <c r="LP29" s="821"/>
      <c r="LQ29" s="756">
        <f t="shared" si="143"/>
        <v>3422385.62</v>
      </c>
      <c r="LR29" s="854">
        <f>'Проверочная  таблица'!LJ29-LZ29</f>
        <v>0</v>
      </c>
      <c r="LS29" s="855">
        <f>'Проверочная  таблица'!LK29-MA29</f>
        <v>0</v>
      </c>
      <c r="LT29" s="856">
        <f>'Проверочная  таблица'!LL29-MB29</f>
        <v>3422385.62</v>
      </c>
      <c r="LU29" s="756">
        <f t="shared" si="144"/>
        <v>0</v>
      </c>
      <c r="LV29" s="843">
        <f>'Проверочная  таблица'!LN29-MD29</f>
        <v>0</v>
      </c>
      <c r="LW29" s="844">
        <f>'Проверочная  таблица'!LO29-ME29</f>
        <v>0</v>
      </c>
      <c r="LX29" s="846">
        <f>'Проверочная  таблица'!LP29-MF29</f>
        <v>0</v>
      </c>
      <c r="LY29" s="756">
        <f t="shared" si="145"/>
        <v>15254191.76</v>
      </c>
      <c r="LZ29" s="516">
        <f>[1]Субсидия_факт!JX27</f>
        <v>762709.59</v>
      </c>
      <c r="MA29" s="838">
        <f>[1]Субсидия_факт!KD27</f>
        <v>14491482.17</v>
      </c>
      <c r="MB29" s="516">
        <f>[1]Субсидия_факт!KH27</f>
        <v>0</v>
      </c>
      <c r="MC29" s="756">
        <f t="shared" si="146"/>
        <v>10004105.77</v>
      </c>
      <c r="MD29" s="750">
        <f t="shared" si="203"/>
        <v>500205.28</v>
      </c>
      <c r="ME29" s="676">
        <f t="shared" si="204"/>
        <v>9503900.4900000002</v>
      </c>
      <c r="MF29" s="840"/>
      <c r="MG29" s="536">
        <f t="shared" si="147"/>
        <v>835468.34000000008</v>
      </c>
      <c r="MH29" s="653">
        <f>[1]Субсидия_факт!KR27</f>
        <v>41773.42</v>
      </c>
      <c r="MI29" s="683">
        <f>[1]Субсидия_факт!KV27</f>
        <v>793694.92</v>
      </c>
      <c r="MJ29" s="843">
        <f>[1]Субсидия_факт!KZ27</f>
        <v>0</v>
      </c>
      <c r="MK29" s="1615">
        <f>[1]Субсидия_факт!LD27</f>
        <v>0</v>
      </c>
      <c r="ML29" s="536">
        <f t="shared" si="148"/>
        <v>563061.81999999995</v>
      </c>
      <c r="MM29" s="1610">
        <v>28153.09</v>
      </c>
      <c r="MN29" s="1534">
        <v>534908.73</v>
      </c>
      <c r="MO29" s="1470"/>
      <c r="MP29" s="1611"/>
      <c r="MQ29" s="918">
        <f t="shared" si="149"/>
        <v>835468.34000000008</v>
      </c>
      <c r="MR29" s="1614">
        <f t="shared" si="64"/>
        <v>41773.42</v>
      </c>
      <c r="MS29" s="683">
        <f t="shared" si="65"/>
        <v>793694.92</v>
      </c>
      <c r="MT29" s="917">
        <f t="shared" si="66"/>
        <v>0</v>
      </c>
      <c r="MU29" s="683">
        <f t="shared" si="67"/>
        <v>0</v>
      </c>
      <c r="MV29" s="918">
        <f t="shared" si="150"/>
        <v>563061.81999999995</v>
      </c>
      <c r="MW29" s="917">
        <f t="shared" si="68"/>
        <v>28153.09</v>
      </c>
      <c r="MX29" s="683">
        <f t="shared" si="69"/>
        <v>534908.73</v>
      </c>
      <c r="MY29" s="917">
        <f t="shared" si="70"/>
        <v>0</v>
      </c>
      <c r="MZ29" s="683">
        <f t="shared" si="71"/>
        <v>0</v>
      </c>
      <c r="NA29" s="918">
        <f t="shared" si="151"/>
        <v>0</v>
      </c>
      <c r="NB29" s="1080">
        <f>[1]Субсидия_факт!KT27</f>
        <v>0</v>
      </c>
      <c r="NC29" s="683">
        <f>[1]Субсидия_факт!KX27</f>
        <v>0</v>
      </c>
      <c r="ND29" s="625">
        <f>[1]Субсидия_факт!LB27</f>
        <v>0</v>
      </c>
      <c r="NE29" s="709">
        <f>[1]Субсидия_факт!LF27</f>
        <v>0</v>
      </c>
      <c r="NF29" s="918">
        <f t="shared" si="152"/>
        <v>0</v>
      </c>
      <c r="NG29" s="878"/>
      <c r="NH29" s="1145"/>
      <c r="NI29" s="1470"/>
      <c r="NJ29" s="1534"/>
      <c r="NK29" s="839">
        <f t="shared" si="72"/>
        <v>0</v>
      </c>
      <c r="NL29" s="516">
        <f>[1]Субсидия_факт!AB27</f>
        <v>0</v>
      </c>
      <c r="NM29" s="838">
        <f>[1]Субсидия_факт!AD27</f>
        <v>0</v>
      </c>
      <c r="NN29" s="841">
        <f t="shared" si="73"/>
        <v>0</v>
      </c>
      <c r="NO29" s="851"/>
      <c r="NP29" s="1021"/>
      <c r="NQ29" s="536">
        <f t="shared" si="153"/>
        <v>0</v>
      </c>
      <c r="NR29" s="507">
        <f>[1]Субсидия_факт!LH27</f>
        <v>0</v>
      </c>
      <c r="NS29" s="1461">
        <f>[1]Субсидия_факт!LJ27</f>
        <v>0</v>
      </c>
      <c r="NT29" s="967">
        <f>[1]Субсидия_факт!MN27</f>
        <v>0</v>
      </c>
      <c r="NU29" s="690">
        <f>[1]Субсидия_факт!MP27</f>
        <v>0</v>
      </c>
      <c r="NV29" s="1148">
        <f>[1]Субсидия_факт!MB27</f>
        <v>0</v>
      </c>
      <c r="NW29" s="683">
        <f>[1]Субсидия_факт!MH27</f>
        <v>0</v>
      </c>
      <c r="NX29" s="536">
        <f t="shared" si="154"/>
        <v>0</v>
      </c>
      <c r="NY29" s="877"/>
      <c r="NZ29" s="785"/>
      <c r="OA29" s="877"/>
      <c r="OB29" s="785"/>
      <c r="OC29" s="1470"/>
      <c r="OD29" s="1471"/>
      <c r="OE29" s="536">
        <f t="shared" si="155"/>
        <v>0</v>
      </c>
      <c r="OF29" s="653">
        <f>[1]Субсидия_факт!KJ27</f>
        <v>0</v>
      </c>
      <c r="OG29" s="683">
        <f>[1]Субсидия_факт!KN27</f>
        <v>0</v>
      </c>
      <c r="OH29" s="653">
        <f>[1]Субсидия_факт!LL27</f>
        <v>0</v>
      </c>
      <c r="OI29" s="683">
        <f>[1]Субсидия_факт!LP27</f>
        <v>0</v>
      </c>
      <c r="OJ29" s="653">
        <f>[1]Субсидия_факт!MD27</f>
        <v>0</v>
      </c>
      <c r="OK29" s="683">
        <f>[1]Субсидия_факт!MJ27</f>
        <v>0</v>
      </c>
      <c r="OL29" s="536">
        <f t="shared" si="156"/>
        <v>0</v>
      </c>
      <c r="OM29" s="878"/>
      <c r="ON29" s="1145"/>
      <c r="OO29" s="877"/>
      <c r="OP29" s="785"/>
      <c r="OQ29" s="878"/>
      <c r="OR29" s="1145"/>
      <c r="OS29" s="918">
        <f t="shared" si="157"/>
        <v>0</v>
      </c>
      <c r="OT29" s="1067">
        <f t="shared" si="74"/>
        <v>0</v>
      </c>
      <c r="OU29" s="683">
        <f t="shared" si="75"/>
        <v>0</v>
      </c>
      <c r="OV29" s="1067">
        <f t="shared" si="76"/>
        <v>0</v>
      </c>
      <c r="OW29" s="683">
        <f t="shared" si="77"/>
        <v>0</v>
      </c>
      <c r="OX29" s="1148">
        <f t="shared" si="78"/>
        <v>0</v>
      </c>
      <c r="OY29" s="683">
        <f t="shared" si="79"/>
        <v>0</v>
      </c>
      <c r="OZ29" s="918">
        <f t="shared" si="158"/>
        <v>0</v>
      </c>
      <c r="PA29" s="1067">
        <f t="shared" si="80"/>
        <v>0</v>
      </c>
      <c r="PB29" s="683">
        <f t="shared" si="81"/>
        <v>0</v>
      </c>
      <c r="PC29" s="1067">
        <f t="shared" si="82"/>
        <v>0</v>
      </c>
      <c r="PD29" s="683">
        <f t="shared" si="83"/>
        <v>0</v>
      </c>
      <c r="PE29" s="1148">
        <f t="shared" si="84"/>
        <v>0</v>
      </c>
      <c r="PF29" s="683">
        <f t="shared" si="85"/>
        <v>0</v>
      </c>
      <c r="PG29" s="918">
        <f t="shared" si="159"/>
        <v>0</v>
      </c>
      <c r="PH29" s="1080">
        <f>[1]Субсидия_факт!KL27</f>
        <v>0</v>
      </c>
      <c r="PI29" s="683">
        <f>[1]Субсидия_факт!KP27</f>
        <v>0</v>
      </c>
      <c r="PJ29" s="653">
        <f>[1]Субсидия_факт!LN27</f>
        <v>0</v>
      </c>
      <c r="PK29" s="683">
        <f>[1]Субсидия_факт!LR27</f>
        <v>0</v>
      </c>
      <c r="PL29" s="653">
        <f>[1]Субсидия_факт!MF27</f>
        <v>0</v>
      </c>
      <c r="PM29" s="683">
        <f>[1]Субсидия_факт!ML27</f>
        <v>0</v>
      </c>
      <c r="PN29" s="918">
        <f t="shared" si="160"/>
        <v>0</v>
      </c>
      <c r="PO29" s="878"/>
      <c r="PP29" s="1145"/>
      <c r="PQ29" s="877"/>
      <c r="PR29" s="785"/>
      <c r="PS29" s="878"/>
      <c r="PT29" s="1145"/>
      <c r="PU29" s="466">
        <f t="shared" si="161"/>
        <v>22101105.260000002</v>
      </c>
      <c r="PV29" s="516">
        <f>[1]Субсидия_факт!MR27</f>
        <v>1105055.26</v>
      </c>
      <c r="PW29" s="838">
        <f>[1]Субсидия_факт!MX27</f>
        <v>20996050</v>
      </c>
      <c r="PX29" s="466">
        <f t="shared" si="162"/>
        <v>0</v>
      </c>
      <c r="PY29" s="724"/>
      <c r="PZ29" s="678"/>
      <c r="QA29" s="579">
        <f t="shared" si="163"/>
        <v>0</v>
      </c>
      <c r="QB29" s="516">
        <f>[1]Субсидия_факт!MT27</f>
        <v>0</v>
      </c>
      <c r="QC29" s="838">
        <f>[1]Субсидия_факт!MZ27</f>
        <v>0</v>
      </c>
      <c r="QD29" s="466">
        <f t="shared" si="164"/>
        <v>0</v>
      </c>
      <c r="QE29" s="724"/>
      <c r="QF29" s="987"/>
      <c r="QG29" s="669">
        <f t="shared" si="165"/>
        <v>0</v>
      </c>
      <c r="QH29" s="516">
        <f t="shared" si="166"/>
        <v>0</v>
      </c>
      <c r="QI29" s="838">
        <f t="shared" si="167"/>
        <v>0</v>
      </c>
      <c r="QJ29" s="669">
        <f t="shared" si="168"/>
        <v>0</v>
      </c>
      <c r="QK29" s="516">
        <f t="shared" si="169"/>
        <v>0</v>
      </c>
      <c r="QL29" s="838">
        <f t="shared" si="170"/>
        <v>0</v>
      </c>
      <c r="QM29" s="669">
        <f t="shared" si="171"/>
        <v>0</v>
      </c>
      <c r="QN29" s="516">
        <f>[1]Субсидия_факт!MV27</f>
        <v>0</v>
      </c>
      <c r="QO29" s="838">
        <f>[1]Субсидия_факт!NB27</f>
        <v>0</v>
      </c>
      <c r="QP29" s="669">
        <f t="shared" si="172"/>
        <v>0</v>
      </c>
      <c r="QQ29" s="516">
        <f>[1]Субсидия_факт!NI27</f>
        <v>0</v>
      </c>
      <c r="QR29" s="752">
        <f>[1]Субсидия_факт!NO27</f>
        <v>0</v>
      </c>
      <c r="QS29" s="828">
        <f>'Прочая  субсидия_МР  и  ГО'!B25</f>
        <v>12975328.710000001</v>
      </c>
      <c r="QT29" s="828">
        <f>'Прочая  субсидия_МР  и  ГО'!C25</f>
        <v>6822107.5099999988</v>
      </c>
      <c r="QU29" s="857">
        <f>'Прочая  субсидия_БП'!B25</f>
        <v>7775069.9200000009</v>
      </c>
      <c r="QV29" s="858">
        <f>'Прочая  субсидия_БП'!C25</f>
        <v>4318449</v>
      </c>
      <c r="QW29" s="859">
        <f>'Прочая  субсидия_БП'!D25</f>
        <v>5540155.4400000004</v>
      </c>
      <c r="QX29" s="860">
        <f>'Прочая  субсидия_БП'!E25</f>
        <v>2093449</v>
      </c>
      <c r="QY29" s="861">
        <f>'Прочая  субсидия_БП'!F25</f>
        <v>2234914.48</v>
      </c>
      <c r="QZ29" s="859">
        <f>'Прочая  субсидия_БП'!G25</f>
        <v>2225000</v>
      </c>
      <c r="RA29" s="537">
        <f t="shared" si="173"/>
        <v>348953205.43999994</v>
      </c>
      <c r="RB29" s="967">
        <f>'Проверочная  таблица'!SF29+'Проверочная  таблица'!RG29+'Проверочная  таблица'!RI29+'Проверочная  таблица'!RK29+RX29</f>
        <v>336546507.60999995</v>
      </c>
      <c r="RC29" s="509">
        <f>'Проверочная  таблица'!SG29+'Проверочная  таблица'!RM29+'Проверочная  таблица'!RS29+'Проверочная  таблица'!RO29+'Проверочная  таблица'!RQ29+RU29+RY29+SC29</f>
        <v>12406697.83</v>
      </c>
      <c r="RD29" s="536">
        <f t="shared" si="174"/>
        <v>264091289.81</v>
      </c>
      <c r="RE29" s="507">
        <f>'Проверочная  таблица'!SI29+'Проверочная  таблица'!RH29+'Проверочная  таблица'!RJ29+'Проверочная  таблица'!RL29+SA29</f>
        <v>258175909.59</v>
      </c>
      <c r="RF29" s="509">
        <f>'Проверочная  таблица'!SJ29+'Проверочная  таблица'!RN29+'Проверочная  таблица'!RT29+'Проверочная  таблица'!RP29+'Проверочная  таблица'!RR29+RV29+SB29+SD29</f>
        <v>5915380.2199999997</v>
      </c>
      <c r="RG29" s="579">
        <f>'Субвенция  на  полномочия'!B25</f>
        <v>321310740.31999993</v>
      </c>
      <c r="RH29" s="466">
        <f>'Субвенция  на  полномочия'!C25</f>
        <v>247842672.5</v>
      </c>
      <c r="RI29" s="733">
        <f>[1]Субвенция_факт!Q26*1000</f>
        <v>7958853.9999999991</v>
      </c>
      <c r="RJ29" s="736">
        <v>6150000</v>
      </c>
      <c r="RK29" s="733">
        <f>[1]Субвенция_факт!J26*1000</f>
        <v>3086832</v>
      </c>
      <c r="RL29" s="736">
        <v>1850000</v>
      </c>
      <c r="RM29" s="733">
        <f>[1]Субвенция_факт!AE26*1000</f>
        <v>2088000</v>
      </c>
      <c r="RN29" s="736">
        <v>1310692.8299999998</v>
      </c>
      <c r="RO29" s="733">
        <f>[1]Субвенция_факт!AF26*1000</f>
        <v>2000</v>
      </c>
      <c r="RP29" s="736">
        <v>0</v>
      </c>
      <c r="RQ29" s="733">
        <f>[1]Субвенция_факт!E26*1000</f>
        <v>0</v>
      </c>
      <c r="RR29" s="736"/>
      <c r="RS29" s="733">
        <f>[1]Субвенция_факт!F26*1000</f>
        <v>0</v>
      </c>
      <c r="RT29" s="827"/>
      <c r="RU29" s="458">
        <f>[1]Субвенция_факт!G26*1000</f>
        <v>0</v>
      </c>
      <c r="RV29" s="1109"/>
      <c r="RW29" s="536">
        <f t="shared" si="88"/>
        <v>10927629.620000001</v>
      </c>
      <c r="RX29" s="856">
        <f>[1]Субвенция_факт!N26*1000</f>
        <v>3059736.29</v>
      </c>
      <c r="RY29" s="855">
        <f>[1]Субвенция_факт!O26*1000</f>
        <v>7867893.3300000001</v>
      </c>
      <c r="RZ29" s="536">
        <f t="shared" si="89"/>
        <v>4411561.04</v>
      </c>
      <c r="SA29" s="915">
        <v>1235237.0900000001</v>
      </c>
      <c r="SB29" s="1280">
        <v>3176323.95</v>
      </c>
      <c r="SC29" s="458">
        <f>[1]Субвенция_факт!AG26*1000</f>
        <v>464804.5</v>
      </c>
      <c r="SD29" s="1277"/>
      <c r="SE29" s="498">
        <f t="shared" si="175"/>
        <v>3114345</v>
      </c>
      <c r="SF29" s="1043">
        <f>[1]Субвенция_факт!AD26*1000</f>
        <v>1130344.9999999998</v>
      </c>
      <c r="SG29" s="1563">
        <f>[1]Субвенция_факт!AC26*1000</f>
        <v>1984000</v>
      </c>
      <c r="SH29" s="536">
        <f t="shared" si="176"/>
        <v>2526363.44</v>
      </c>
      <c r="SI29" s="1557">
        <v>1098000</v>
      </c>
      <c r="SJ29" s="1635">
        <v>1428363.44</v>
      </c>
      <c r="SK29" s="281">
        <f>'Проверочная  таблица'!VC29+'Проверочная  таблица'!UO29+'Проверочная  таблица'!SY29+'Проверочная  таблица'!TC29+UA29+UG29+TK29+TQ29+SM29+SS29</f>
        <v>74726690.280000001</v>
      </c>
      <c r="SL29" s="458">
        <f>'Проверочная  таблица'!VF29+'Проверочная  таблица'!UV29+'Проверочная  таблица'!TA29+'Проверочная  таблица'!TE29+UD29+UK29+TN29+TT29+SP29+SV29</f>
        <v>47523244.439999998</v>
      </c>
      <c r="SM29" s="857">
        <f t="shared" si="92"/>
        <v>16717680</v>
      </c>
      <c r="SN29" s="1043">
        <f>'[1]Иные межбюджетные трансферты'!I27</f>
        <v>0</v>
      </c>
      <c r="SO29" s="911">
        <f>'[1]Иные межбюджетные трансферты'!K27</f>
        <v>16717680</v>
      </c>
      <c r="SP29" s="536">
        <f t="shared" si="93"/>
        <v>11510663.09</v>
      </c>
      <c r="SQ29" s="1423"/>
      <c r="SR29" s="1424">
        <v>11510663.09</v>
      </c>
      <c r="SS29" s="536">
        <f t="shared" si="177"/>
        <v>0</v>
      </c>
      <c r="ST29" s="1083">
        <f>'[1]Иные межбюджетные трансферты'!Y27</f>
        <v>0</v>
      </c>
      <c r="SU29" s="1631">
        <f>'[1]Иные межбюджетные трансферты'!AE27</f>
        <v>0</v>
      </c>
      <c r="SV29" s="536">
        <f t="shared" si="178"/>
        <v>0</v>
      </c>
      <c r="SW29" s="907"/>
      <c r="SX29" s="1424"/>
      <c r="SY29" s="1255">
        <f t="shared" si="94"/>
        <v>0</v>
      </c>
      <c r="SZ29" s="1010">
        <f>'[1]Иные межбюджетные трансферты'!AG27</f>
        <v>0</v>
      </c>
      <c r="TA29" s="900">
        <f t="shared" si="95"/>
        <v>0</v>
      </c>
      <c r="TB29" s="1424"/>
      <c r="TC29" s="904">
        <f t="shared" si="96"/>
        <v>0</v>
      </c>
      <c r="TD29" s="1010">
        <f>'[1]Иные межбюджетные трансферты'!AI27</f>
        <v>0</v>
      </c>
      <c r="TE29" s="900">
        <f t="shared" si="97"/>
        <v>0</v>
      </c>
      <c r="TF29" s="1083"/>
      <c r="TG29" s="902">
        <f t="shared" si="98"/>
        <v>0</v>
      </c>
      <c r="TH29" s="898">
        <f t="shared" si="99"/>
        <v>0</v>
      </c>
      <c r="TI29" s="1087">
        <f t="shared" si="179"/>
        <v>0</v>
      </c>
      <c r="TJ29" s="898">
        <f t="shared" si="180"/>
        <v>0</v>
      </c>
      <c r="TK29" s="904">
        <f t="shared" si="181"/>
        <v>0</v>
      </c>
      <c r="TL29" s="1080"/>
      <c r="TM29" s="683"/>
      <c r="TN29" s="904">
        <f t="shared" si="182"/>
        <v>0</v>
      </c>
      <c r="TO29" s="915"/>
      <c r="TP29" s="688"/>
      <c r="TQ29" s="904">
        <f t="shared" si="183"/>
        <v>36977664</v>
      </c>
      <c r="TR29" s="1080">
        <f>'[1]Иные межбюджетные трансферты'!AQ27</f>
        <v>36977664</v>
      </c>
      <c r="TS29" s="683">
        <f>'[1]Иные межбюджетные трансферты'!AU27</f>
        <v>0</v>
      </c>
      <c r="TT29" s="900">
        <f t="shared" si="184"/>
        <v>21401568</v>
      </c>
      <c r="TU29" s="853">
        <v>21401568</v>
      </c>
      <c r="TV29" s="767"/>
      <c r="TW29" s="1296">
        <f t="shared" si="185"/>
        <v>0</v>
      </c>
      <c r="TX29" s="1296">
        <f t="shared" si="186"/>
        <v>0</v>
      </c>
      <c r="TY29" s="1296">
        <f t="shared" si="187"/>
        <v>36977664</v>
      </c>
      <c r="TZ29" s="1297">
        <f t="shared" si="188"/>
        <v>21401568</v>
      </c>
      <c r="UA29" s="1134">
        <f t="shared" si="100"/>
        <v>0</v>
      </c>
      <c r="UB29" s="945">
        <f>'[1]Иные межбюджетные трансферты'!U27</f>
        <v>0</v>
      </c>
      <c r="UC29" s="1133">
        <f>'[1]Иные межбюджетные трансферты'!W27</f>
        <v>0</v>
      </c>
      <c r="UD29" s="734">
        <f t="shared" si="101"/>
        <v>0</v>
      </c>
      <c r="UE29" s="1135"/>
      <c r="UF29" s="1136"/>
      <c r="UG29" s="734">
        <f t="shared" si="189"/>
        <v>0</v>
      </c>
      <c r="UH29" s="945">
        <f>'[1]Иные межбюджетные трансферты'!O27</f>
        <v>0</v>
      </c>
      <c r="UI29" s="1133">
        <f>'[1]Иные межбюджетные трансферты'!Q27</f>
        <v>0</v>
      </c>
      <c r="UJ29" s="1133">
        <f>'[1]Иные межбюджетные трансферты'!S27</f>
        <v>0</v>
      </c>
      <c r="UK29" s="734">
        <f t="shared" si="190"/>
        <v>0</v>
      </c>
      <c r="UL29" s="1514"/>
      <c r="UM29" s="1515"/>
      <c r="UN29" s="1626"/>
      <c r="UO29" s="1585">
        <f t="shared" si="191"/>
        <v>16398074.609999999</v>
      </c>
      <c r="UP29" s="1043">
        <f>'[1]Иные межбюджетные трансферты'!E27</f>
        <v>0</v>
      </c>
      <c r="UQ29" s="911">
        <f>'[1]Иные межбюджетные трансферты'!G27</f>
        <v>0</v>
      </c>
      <c r="UR29" s="831">
        <f>'[1]Иные межбюджетные трансферты'!M27</f>
        <v>15382318</v>
      </c>
      <c r="US29" s="1540"/>
      <c r="UT29" s="1499">
        <f>'[1]Иные межбюджетные трансферты'!AY27</f>
        <v>0</v>
      </c>
      <c r="UU29" s="1539">
        <f>'[1]Иные межбюджетные трансферты'!BA27</f>
        <v>1015756.61</v>
      </c>
      <c r="UV29" s="834">
        <f t="shared" si="192"/>
        <v>9977741.6799999997</v>
      </c>
      <c r="UW29" s="909"/>
      <c r="UX29" s="907"/>
      <c r="UY29" s="1504">
        <v>8961985.0700000003</v>
      </c>
      <c r="UZ29" s="516"/>
      <c r="VA29" s="518">
        <f t="shared" si="102"/>
        <v>0</v>
      </c>
      <c r="VB29" s="516">
        <f t="shared" si="193"/>
        <v>1015756.61</v>
      </c>
      <c r="VC29" s="900">
        <f t="shared" si="194"/>
        <v>4633271.67</v>
      </c>
      <c r="VD29" s="831">
        <f>'[1]Иные межбюджетные трансферты'!AM27</f>
        <v>0</v>
      </c>
      <c r="VE29" s="1588">
        <f>'[1]Иные межбюджетные трансферты'!BC27</f>
        <v>4633271.67</v>
      </c>
      <c r="VF29" s="1496">
        <f t="shared" si="195"/>
        <v>4633271.67</v>
      </c>
      <c r="VG29" s="753"/>
      <c r="VH29" s="1251">
        <f t="shared" si="196"/>
        <v>4633271.67</v>
      </c>
      <c r="VI29" s="1297">
        <f t="shared" si="197"/>
        <v>4633271.67</v>
      </c>
      <c r="VJ29" s="516">
        <f>'Проверочная  таблица'!VD29-VP29</f>
        <v>0</v>
      </c>
      <c r="VK29" s="516">
        <f>'Проверочная  таблица'!VE29-VQ29</f>
        <v>4633271.67</v>
      </c>
      <c r="VL29" s="1297">
        <f t="shared" si="198"/>
        <v>4633271.67</v>
      </c>
      <c r="VM29" s="516">
        <f>'Проверочная  таблица'!VG29-VS29</f>
        <v>0</v>
      </c>
      <c r="VN29" s="516">
        <f>'Проверочная  таблица'!VH29-VT29</f>
        <v>4633271.67</v>
      </c>
      <c r="VO29" s="1297">
        <f t="shared" si="199"/>
        <v>0</v>
      </c>
      <c r="VP29" s="1043">
        <f>'[1]Иные межбюджетные трансферты'!AO27</f>
        <v>0</v>
      </c>
      <c r="VQ29" s="831">
        <f>'[1]Иные межбюджетные трансферты'!BE27</f>
        <v>0</v>
      </c>
      <c r="VR29" s="1502">
        <f t="shared" si="200"/>
        <v>0</v>
      </c>
      <c r="VS29" s="1492"/>
      <c r="VT29" s="518">
        <f t="shared" si="201"/>
        <v>0</v>
      </c>
      <c r="VU29" s="521">
        <f>VW29+'Проверочная  таблица'!WE29+WA29+'Проверочная  таблица'!WI29+WC29+'Проверочная  таблица'!WK29</f>
        <v>0</v>
      </c>
      <c r="VV29" s="521">
        <f>VX29+'Проверочная  таблица'!WF29+WB29+'Проверочная  таблица'!WJ29+WD29+'Проверочная  таблица'!WL29</f>
        <v>0</v>
      </c>
      <c r="VW29" s="544"/>
      <c r="VX29" s="544"/>
      <c r="VY29" s="544"/>
      <c r="VZ29" s="544"/>
      <c r="WA29" s="540">
        <f t="shared" si="103"/>
        <v>0</v>
      </c>
      <c r="WB29" s="539">
        <f t="shared" si="104"/>
        <v>0</v>
      </c>
      <c r="WC29" s="545"/>
      <c r="WD29" s="541"/>
      <c r="WE29" s="544"/>
      <c r="WF29" s="544"/>
      <c r="WG29" s="544"/>
      <c r="WH29" s="544"/>
      <c r="WI29" s="540">
        <f t="shared" si="105"/>
        <v>0</v>
      </c>
      <c r="WJ29" s="539">
        <f t="shared" si="106"/>
        <v>0</v>
      </c>
      <c r="WK29" s="541"/>
      <c r="WL29" s="541"/>
      <c r="WM29" s="252">
        <f>'Проверочная  таблица'!WE29+'Проверочная  таблица'!WG29</f>
        <v>0</v>
      </c>
      <c r="WN29" s="252">
        <f>'Проверочная  таблица'!WF29+'Проверочная  таблица'!WH29</f>
        <v>0</v>
      </c>
    </row>
    <row r="30" spans="1:613" s="338" customFormat="1" ht="25.5" customHeight="1" thickBot="1" x14ac:dyDescent="0.3">
      <c r="A30" s="350" t="s">
        <v>104</v>
      </c>
      <c r="B30" s="589">
        <f t="shared" ref="B30:AG30" si="213">SUM(B12:B29)</f>
        <v>13239397418.73</v>
      </c>
      <c r="C30" s="344">
        <f t="shared" si="213"/>
        <v>9355208447.0800018</v>
      </c>
      <c r="D30" s="570">
        <f t="shared" si="213"/>
        <v>2776717739</v>
      </c>
      <c r="E30" s="447">
        <f t="shared" si="213"/>
        <v>2213004232.8600001</v>
      </c>
      <c r="F30" s="959">
        <f t="shared" si="213"/>
        <v>870972900</v>
      </c>
      <c r="G30" s="863">
        <f t="shared" si="213"/>
        <v>661678516.63</v>
      </c>
      <c r="H30" s="946">
        <f t="shared" si="213"/>
        <v>638004220</v>
      </c>
      <c r="I30" s="947">
        <f t="shared" si="213"/>
        <v>486970154.60000002</v>
      </c>
      <c r="J30" s="948">
        <f t="shared" si="213"/>
        <v>495678220</v>
      </c>
      <c r="K30" s="949">
        <f t="shared" si="213"/>
        <v>376553434.89999998</v>
      </c>
      <c r="L30" s="948">
        <f t="shared" si="213"/>
        <v>142326000</v>
      </c>
      <c r="M30" s="949">
        <f t="shared" si="213"/>
        <v>110416719.7</v>
      </c>
      <c r="N30" s="946">
        <f t="shared" si="213"/>
        <v>416631551</v>
      </c>
      <c r="O30" s="952">
        <f t="shared" si="213"/>
        <v>358931315.31</v>
      </c>
      <c r="P30" s="947">
        <f t="shared" si="213"/>
        <v>812709068</v>
      </c>
      <c r="Q30" s="1444">
        <f t="shared" si="213"/>
        <v>667224063.32000005</v>
      </c>
      <c r="R30" s="949">
        <f t="shared" si="213"/>
        <v>684253896</v>
      </c>
      <c r="S30" s="948">
        <f t="shared" si="213"/>
        <v>549781463.92000008</v>
      </c>
      <c r="T30" s="949">
        <f t="shared" si="213"/>
        <v>128455172</v>
      </c>
      <c r="U30" s="960">
        <f t="shared" si="213"/>
        <v>117442599.40000001</v>
      </c>
      <c r="V30" s="946">
        <f t="shared" si="213"/>
        <v>26900000</v>
      </c>
      <c r="W30" s="946">
        <f t="shared" si="213"/>
        <v>26700183</v>
      </c>
      <c r="X30" s="950">
        <f t="shared" si="213"/>
        <v>6000000</v>
      </c>
      <c r="Y30" s="951">
        <f t="shared" si="213"/>
        <v>8400000</v>
      </c>
      <c r="Z30" s="950">
        <f t="shared" si="213"/>
        <v>12300183</v>
      </c>
      <c r="AA30" s="946">
        <f t="shared" si="213"/>
        <v>11500000</v>
      </c>
      <c r="AB30" s="947">
        <f t="shared" si="213"/>
        <v>11500000</v>
      </c>
      <c r="AC30" s="1531">
        <f t="shared" si="213"/>
        <v>8500000</v>
      </c>
      <c r="AD30" s="950">
        <f t="shared" si="213"/>
        <v>3000000</v>
      </c>
      <c r="AE30" s="948">
        <f t="shared" si="213"/>
        <v>8500000</v>
      </c>
      <c r="AF30" s="949">
        <f t="shared" si="213"/>
        <v>8500000</v>
      </c>
      <c r="AG30" s="948">
        <f t="shared" si="213"/>
        <v>3000000</v>
      </c>
      <c r="AH30" s="953">
        <f t="shared" ref="AH30:AK30" si="214">SUM(AH12:AH29)</f>
        <v>3000000</v>
      </c>
      <c r="AI30" s="473">
        <f t="shared" si="214"/>
        <v>3335496971.8099999</v>
      </c>
      <c r="AJ30" s="473">
        <f t="shared" si="214"/>
        <v>1776677443.1199999</v>
      </c>
      <c r="AK30" s="447">
        <f t="shared" si="214"/>
        <v>76824224</v>
      </c>
      <c r="AL30" s="774">
        <f t="shared" ref="AL30:AO30" si="215">SUM(AL12:AL29)</f>
        <v>0</v>
      </c>
      <c r="AM30" s="657">
        <f t="shared" si="215"/>
        <v>76824224</v>
      </c>
      <c r="AN30" s="862">
        <f t="shared" si="215"/>
        <v>0</v>
      </c>
      <c r="AO30" s="657">
        <f t="shared" si="215"/>
        <v>0</v>
      </c>
      <c r="AP30" s="1221">
        <f>SUM(AP12:AP29)</f>
        <v>0</v>
      </c>
      <c r="AQ30" s="447">
        <f t="shared" ref="AQ30" si="216">SUM(AQ12:AQ29)</f>
        <v>18363237.890000001</v>
      </c>
      <c r="AR30" s="467">
        <f>SUM(AR12:AR29)</f>
        <v>0</v>
      </c>
      <c r="AS30" s="467">
        <f>SUM(AS12:AS29)</f>
        <v>18363237.890000001</v>
      </c>
      <c r="AT30" s="467">
        <f t="shared" ref="AT30" si="217">SUM(AT12:AT29)</f>
        <v>0</v>
      </c>
      <c r="AU30" s="597">
        <f>SUM(AU12:AU29)</f>
        <v>0</v>
      </c>
      <c r="AV30" s="472">
        <f>SUM(AV12:AV29)</f>
        <v>0</v>
      </c>
      <c r="AW30" s="447">
        <f t="shared" ref="AW30" si="218">SUM(AW12:AW29)</f>
        <v>0</v>
      </c>
      <c r="AX30" s="571">
        <f>SUM(AX12:AX29)</f>
        <v>0</v>
      </c>
      <c r="AY30" s="576">
        <f>SUM(AY12:AY29)</f>
        <v>0</v>
      </c>
      <c r="AZ30" s="572">
        <f>SUM(AZ12:AZ29)</f>
        <v>0</v>
      </c>
      <c r="BA30" s="447">
        <f t="shared" ref="BA30" si="219">SUM(BA12:BA29)</f>
        <v>0</v>
      </c>
      <c r="BB30" s="472">
        <f>SUM(BB12:BB29)</f>
        <v>0</v>
      </c>
      <c r="BC30" s="472">
        <f>SUM(BC12:BC29)</f>
        <v>0</v>
      </c>
      <c r="BD30" s="572">
        <f>SUM(BD12:BD29)</f>
        <v>0</v>
      </c>
      <c r="BE30" s="595">
        <f t="shared" ref="BE30" si="220">SUM(BE12:BE29)</f>
        <v>0</v>
      </c>
      <c r="BF30" s="600">
        <f>SUM(BF12:BF29)</f>
        <v>0</v>
      </c>
      <c r="BG30" s="571">
        <f>SUM(BG12:BG29)</f>
        <v>0</v>
      </c>
      <c r="BH30" s="472">
        <f>SUM(BH12:BH29)</f>
        <v>0</v>
      </c>
      <c r="BI30" s="595">
        <f t="shared" ref="BI30" si="221">SUM(BI12:BI29)</f>
        <v>0</v>
      </c>
      <c r="BJ30" s="469">
        <f>SUM(BJ12:BJ29)</f>
        <v>0</v>
      </c>
      <c r="BK30" s="572">
        <f>SUM(BK12:BK29)</f>
        <v>0</v>
      </c>
      <c r="BL30" s="472">
        <f>SUM(BL12:BL29)</f>
        <v>0</v>
      </c>
      <c r="BM30" s="595">
        <f t="shared" ref="BM30" si="222">SUM(BM12:BM29)</f>
        <v>0</v>
      </c>
      <c r="BN30" s="600">
        <f>SUM(BN12:BN29)</f>
        <v>0</v>
      </c>
      <c r="BO30" s="472">
        <f>SUM(BO12:BO29)</f>
        <v>0</v>
      </c>
      <c r="BP30" s="572">
        <f>SUM(BP12:BP29)</f>
        <v>0</v>
      </c>
      <c r="BQ30" s="595">
        <f t="shared" ref="BQ30" si="223">SUM(BQ12:BQ29)</f>
        <v>0</v>
      </c>
      <c r="BR30" s="572">
        <f>SUM(BR12:BR29)</f>
        <v>0</v>
      </c>
      <c r="BS30" s="472">
        <f>SUM(BS12:BS29)</f>
        <v>0</v>
      </c>
      <c r="BT30" s="572">
        <f>SUM(BT12:BT29)</f>
        <v>0</v>
      </c>
      <c r="BU30" s="447">
        <f t="shared" ref="BU30:CO30" si="224">SUM(BU12:BU29)</f>
        <v>619957981.96000004</v>
      </c>
      <c r="BV30" s="657">
        <f t="shared" ref="BV30:BY30" si="225">SUM(BV12:BV29)</f>
        <v>77261913.650000006</v>
      </c>
      <c r="BW30" s="657">
        <f t="shared" si="225"/>
        <v>542696068.30999994</v>
      </c>
      <c r="BX30" s="472">
        <f>SUM(BX12:BX29)</f>
        <v>0</v>
      </c>
      <c r="BY30" s="657">
        <f t="shared" si="225"/>
        <v>0</v>
      </c>
      <c r="BZ30" s="447">
        <f t="shared" ref="BZ30" si="226">SUM(BZ12:BZ29)</f>
        <v>402734202.94</v>
      </c>
      <c r="CA30" s="472">
        <f t="shared" si="224"/>
        <v>24202552.34</v>
      </c>
      <c r="CB30" s="472">
        <f t="shared" si="224"/>
        <v>378531650.59999996</v>
      </c>
      <c r="CC30" s="467">
        <f>SUM(CC12:CC29)</f>
        <v>0</v>
      </c>
      <c r="CD30" s="467">
        <f>SUM(CD12:CD29)</f>
        <v>0</v>
      </c>
      <c r="CE30" s="447">
        <f t="shared" ref="CE30" si="227">SUM(CE12:CE29)</f>
        <v>75325010.150000006</v>
      </c>
      <c r="CF30" s="571">
        <f t="shared" si="224"/>
        <v>0</v>
      </c>
      <c r="CG30" s="472">
        <f t="shared" si="224"/>
        <v>75325010.150000006</v>
      </c>
      <c r="CH30" s="472">
        <f>SUM(CH12:CH29)</f>
        <v>0</v>
      </c>
      <c r="CI30" s="1221">
        <f>SUM(CI12:CI29)</f>
        <v>0</v>
      </c>
      <c r="CJ30" s="447">
        <f t="shared" ref="CJ30" si="228">SUM(CJ12:CJ29)</f>
        <v>48416156.719999999</v>
      </c>
      <c r="CK30" s="472">
        <f t="shared" si="224"/>
        <v>0</v>
      </c>
      <c r="CL30" s="572">
        <f t="shared" si="224"/>
        <v>48416156.719999999</v>
      </c>
      <c r="CM30" s="467">
        <f>SUM(CM12:CM29)</f>
        <v>0</v>
      </c>
      <c r="CN30" s="467">
        <f>SUM(CN12:CN29)</f>
        <v>0</v>
      </c>
      <c r="CO30" s="575">
        <f t="shared" si="224"/>
        <v>0</v>
      </c>
      <c r="CP30" s="573">
        <f t="shared" ref="CP30:DQ30" si="229">SUM(CP12:CP29)</f>
        <v>0</v>
      </c>
      <c r="CQ30" s="591">
        <f t="shared" si="229"/>
        <v>75325010.150000006</v>
      </c>
      <c r="CR30" s="573">
        <f t="shared" si="229"/>
        <v>48416156.719999999</v>
      </c>
      <c r="CS30" s="447">
        <f t="shared" si="229"/>
        <v>20808169.59</v>
      </c>
      <c r="CT30" s="510">
        <f t="shared" si="229"/>
        <v>8191471.8899999997</v>
      </c>
      <c r="CU30" s="344">
        <f t="shared" si="229"/>
        <v>191161297.18000001</v>
      </c>
      <c r="CV30" s="512">
        <f t="shared" si="229"/>
        <v>160824176.32000002</v>
      </c>
      <c r="CW30" s="573">
        <f t="shared" si="229"/>
        <v>4288396.5500000007</v>
      </c>
      <c r="CX30" s="591">
        <f t="shared" si="229"/>
        <v>3430717.25</v>
      </c>
      <c r="CY30" s="573">
        <f t="shared" si="229"/>
        <v>186872900.63000003</v>
      </c>
      <c r="CZ30" s="591">
        <f t="shared" si="229"/>
        <v>157393459.07000002</v>
      </c>
      <c r="DA30" s="344">
        <f t="shared" si="229"/>
        <v>2556553.94</v>
      </c>
      <c r="DB30" s="344">
        <f t="shared" si="229"/>
        <v>917966.61</v>
      </c>
      <c r="DC30" s="512">
        <f t="shared" si="229"/>
        <v>23311529.969999999</v>
      </c>
      <c r="DD30" s="344">
        <f t="shared" si="229"/>
        <v>19127720.400000002</v>
      </c>
      <c r="DE30" s="573">
        <f t="shared" si="229"/>
        <v>1599701.3900000006</v>
      </c>
      <c r="DF30" s="574">
        <f t="shared" si="229"/>
        <v>1279761.1100000003</v>
      </c>
      <c r="DG30" s="610">
        <f t="shared" si="229"/>
        <v>21711828.579999998</v>
      </c>
      <c r="DH30" s="574">
        <f t="shared" si="229"/>
        <v>17847959.290000003</v>
      </c>
      <c r="DI30" s="473">
        <f t="shared" ref="DI30:DP30" si="230">SUM(DI12:DI29)</f>
        <v>354973518.56999999</v>
      </c>
      <c r="DJ30" s="467">
        <f t="shared" si="230"/>
        <v>0</v>
      </c>
      <c r="DK30" s="774">
        <f t="shared" ref="DK30:DM30" si="231">SUM(DK12:DK29)</f>
        <v>58636871.510000005</v>
      </c>
      <c r="DL30" s="1231">
        <f t="shared" si="231"/>
        <v>296336647.06</v>
      </c>
      <c r="DM30" s="447">
        <f t="shared" si="231"/>
        <v>170204232.49000001</v>
      </c>
      <c r="DN30" s="467">
        <f t="shared" ref="DN30" si="232">SUM(DN12:DN29)</f>
        <v>0</v>
      </c>
      <c r="DO30" s="467">
        <f t="shared" si="230"/>
        <v>32023298.75</v>
      </c>
      <c r="DP30" s="677">
        <f t="shared" si="230"/>
        <v>138180933.74000001</v>
      </c>
      <c r="DQ30" s="570">
        <f t="shared" si="229"/>
        <v>15271044.439999999</v>
      </c>
      <c r="DR30" s="657">
        <f t="shared" ref="DR30:DW30" si="233">SUM(DR12:DR29)</f>
        <v>8409644.4399999995</v>
      </c>
      <c r="DS30" s="862">
        <f t="shared" si="233"/>
        <v>0</v>
      </c>
      <c r="DT30" s="677">
        <f t="shared" si="233"/>
        <v>0</v>
      </c>
      <c r="DU30" s="862">
        <f t="shared" si="233"/>
        <v>0</v>
      </c>
      <c r="DV30" s="677">
        <f t="shared" si="233"/>
        <v>0</v>
      </c>
      <c r="DW30" s="862">
        <f t="shared" si="233"/>
        <v>6861400</v>
      </c>
      <c r="DX30" s="344">
        <f t="shared" ref="DX30:ED30" si="234">SUM(DX12:DX29)</f>
        <v>8812160.0799999982</v>
      </c>
      <c r="DY30" s="654">
        <f t="shared" si="234"/>
        <v>5089351.41</v>
      </c>
      <c r="DZ30" s="472">
        <f t="shared" si="234"/>
        <v>0</v>
      </c>
      <c r="EA30" s="680">
        <f t="shared" si="234"/>
        <v>0</v>
      </c>
      <c r="EB30" s="472">
        <f t="shared" si="234"/>
        <v>0</v>
      </c>
      <c r="EC30" s="680">
        <f t="shared" si="234"/>
        <v>0</v>
      </c>
      <c r="ED30" s="576">
        <f t="shared" si="234"/>
        <v>3722808.6700000004</v>
      </c>
      <c r="EE30" s="473">
        <f t="shared" ref="EE30:EJ30" si="235">SUM(EE12:EE29)</f>
        <v>5654106</v>
      </c>
      <c r="EF30" s="774">
        <f t="shared" ref="EF30:EG30" si="236">SUM(EF12:EF29)</f>
        <v>282706</v>
      </c>
      <c r="EG30" s="1231">
        <f t="shared" si="236"/>
        <v>5371400</v>
      </c>
      <c r="EH30" s="447">
        <f t="shared" si="235"/>
        <v>2827053</v>
      </c>
      <c r="EI30" s="607">
        <f t="shared" si="235"/>
        <v>141353.01</v>
      </c>
      <c r="EJ30" s="677">
        <f t="shared" si="235"/>
        <v>2685699.99</v>
      </c>
      <c r="EK30" s="570">
        <f t="shared" ref="EK30:FJ30" si="237">SUM(EK12:EK29)</f>
        <v>25906700</v>
      </c>
      <c r="EL30" s="774">
        <f t="shared" ref="EL30:EQ30" si="238">SUM(EL12:EL29)</f>
        <v>242700</v>
      </c>
      <c r="EM30" s="677">
        <f t="shared" si="238"/>
        <v>4611300</v>
      </c>
      <c r="EN30" s="862">
        <f>SUM(EN12:EN29)</f>
        <v>0</v>
      </c>
      <c r="EO30" s="677">
        <f>SUM(EO12:EO29)</f>
        <v>0</v>
      </c>
      <c r="EP30" s="472">
        <f t="shared" si="238"/>
        <v>1052700</v>
      </c>
      <c r="EQ30" s="708">
        <f t="shared" si="238"/>
        <v>20000000</v>
      </c>
      <c r="ER30" s="344">
        <f t="shared" si="237"/>
        <v>481340.31</v>
      </c>
      <c r="ES30" s="571">
        <f t="shared" si="237"/>
        <v>24067.02</v>
      </c>
      <c r="ET30" s="680">
        <f t="shared" si="237"/>
        <v>457273.29</v>
      </c>
      <c r="EU30" s="571">
        <f>SUM(EU12:EU29)</f>
        <v>0</v>
      </c>
      <c r="EV30" s="680">
        <f>SUM(EV12:EV29)</f>
        <v>0</v>
      </c>
      <c r="EW30" s="571">
        <f t="shared" ref="EW30:EX30" si="239">SUM(EW12:EW29)</f>
        <v>0</v>
      </c>
      <c r="EX30" s="680">
        <f t="shared" si="239"/>
        <v>0</v>
      </c>
      <c r="EY30" s="473">
        <f t="shared" ref="EY30:FB30" si="240">SUM(EY12:EY29)</f>
        <v>0</v>
      </c>
      <c r="EZ30" s="774">
        <f t="shared" ref="EZ30:FA30" si="241">SUM(EZ12:EZ29)</f>
        <v>0</v>
      </c>
      <c r="FA30" s="1231">
        <f t="shared" si="241"/>
        <v>0</v>
      </c>
      <c r="FB30" s="447">
        <f t="shared" si="240"/>
        <v>0</v>
      </c>
      <c r="FC30" s="607">
        <f t="shared" ref="FC30" si="242">SUM(FC12:FC29)</f>
        <v>0</v>
      </c>
      <c r="FD30" s="677">
        <f t="shared" ref="FD30" si="243">SUM(FD12:FD29)</f>
        <v>0</v>
      </c>
      <c r="FE30" s="473">
        <f t="shared" si="237"/>
        <v>46995475.979999997</v>
      </c>
      <c r="FF30" s="774">
        <f t="shared" ref="FF30:FG30" si="244">SUM(FF12:FF29)</f>
        <v>2349775.98</v>
      </c>
      <c r="FG30" s="1231">
        <f t="shared" si="244"/>
        <v>44645700</v>
      </c>
      <c r="FH30" s="447">
        <f t="shared" si="237"/>
        <v>46995475.979999997</v>
      </c>
      <c r="FI30" s="607">
        <f t="shared" si="237"/>
        <v>2349775.98</v>
      </c>
      <c r="FJ30" s="677">
        <f t="shared" si="237"/>
        <v>44645700</v>
      </c>
      <c r="FK30" s="473">
        <f t="shared" ref="FK30:FP30" si="245">SUM(FK12:FK29)</f>
        <v>65624962.600000001</v>
      </c>
      <c r="FL30" s="774">
        <f t="shared" ref="FL30:FM30" si="246">SUM(FL12:FL29)</f>
        <v>3281248.1300000027</v>
      </c>
      <c r="FM30" s="1231">
        <f t="shared" si="246"/>
        <v>62343714.469999999</v>
      </c>
      <c r="FN30" s="447">
        <f t="shared" si="245"/>
        <v>18321810.02</v>
      </c>
      <c r="FO30" s="607">
        <f t="shared" si="245"/>
        <v>916090.5</v>
      </c>
      <c r="FP30" s="677">
        <f t="shared" si="245"/>
        <v>17405719.52</v>
      </c>
      <c r="FQ30" s="473">
        <f t="shared" ref="FQ30:HJ30" si="247">SUM(FQ12:FQ29)</f>
        <v>0</v>
      </c>
      <c r="FR30" s="774">
        <f t="shared" ref="FR30:FS30" si="248">SUM(FR12:FR29)</f>
        <v>0</v>
      </c>
      <c r="FS30" s="1231">
        <f t="shared" si="248"/>
        <v>0</v>
      </c>
      <c r="FT30" s="447">
        <f t="shared" si="247"/>
        <v>0</v>
      </c>
      <c r="FU30" s="607">
        <f t="shared" si="247"/>
        <v>0</v>
      </c>
      <c r="FV30" s="677">
        <f t="shared" si="247"/>
        <v>0</v>
      </c>
      <c r="FW30" s="473">
        <f t="shared" ref="FW30:GB30" si="249">SUM(FW12:FW29)</f>
        <v>10944030</v>
      </c>
      <c r="FX30" s="467">
        <f t="shared" si="249"/>
        <v>3064330</v>
      </c>
      <c r="FY30" s="777">
        <f t="shared" si="249"/>
        <v>7879700</v>
      </c>
      <c r="FZ30" s="447">
        <f t="shared" si="249"/>
        <v>0</v>
      </c>
      <c r="GA30" s="607">
        <f t="shared" si="249"/>
        <v>0</v>
      </c>
      <c r="GB30" s="677">
        <f t="shared" si="249"/>
        <v>0</v>
      </c>
      <c r="GC30" s="664">
        <f t="shared" ref="GC30:GD30" si="250">SUM(GC12:GC29)</f>
        <v>0</v>
      </c>
      <c r="GD30" s="595">
        <f t="shared" si="250"/>
        <v>0</v>
      </c>
      <c r="GE30" s="664">
        <f t="shared" ref="GE30:GL30" si="251">SUM(GE12:GE29)</f>
        <v>10944030</v>
      </c>
      <c r="GF30" s="595">
        <f t="shared" si="251"/>
        <v>0</v>
      </c>
      <c r="GG30" s="473">
        <f t="shared" si="251"/>
        <v>14654027.779999999</v>
      </c>
      <c r="GH30" s="467">
        <f t="shared" si="251"/>
        <v>4103127.7799999993</v>
      </c>
      <c r="GI30" s="778">
        <f t="shared" si="251"/>
        <v>10550900</v>
      </c>
      <c r="GJ30" s="473">
        <f t="shared" si="251"/>
        <v>11162192.380000001</v>
      </c>
      <c r="GK30" s="467">
        <f t="shared" si="251"/>
        <v>3125413.870000001</v>
      </c>
      <c r="GL30" s="778">
        <f t="shared" si="251"/>
        <v>8036778.5099999998</v>
      </c>
      <c r="GM30" s="473">
        <f t="shared" si="247"/>
        <v>0</v>
      </c>
      <c r="GN30" s="467">
        <f t="shared" si="247"/>
        <v>0</v>
      </c>
      <c r="GO30" s="777">
        <f t="shared" si="247"/>
        <v>0</v>
      </c>
      <c r="GP30" s="447">
        <f t="shared" si="247"/>
        <v>0</v>
      </c>
      <c r="GQ30" s="467">
        <f t="shared" si="247"/>
        <v>0</v>
      </c>
      <c r="GR30" s="778">
        <f t="shared" si="247"/>
        <v>0</v>
      </c>
      <c r="GS30" s="473">
        <f t="shared" si="247"/>
        <v>6003700</v>
      </c>
      <c r="GT30" s="467">
        <f t="shared" si="247"/>
        <v>3000000</v>
      </c>
      <c r="GU30" s="777">
        <f t="shared" si="247"/>
        <v>3003700</v>
      </c>
      <c r="GV30" s="447">
        <f t="shared" si="247"/>
        <v>2826804.55</v>
      </c>
      <c r="GW30" s="467">
        <f t="shared" si="247"/>
        <v>1412531.22</v>
      </c>
      <c r="GX30" s="778">
        <f t="shared" si="247"/>
        <v>1414273.3299999998</v>
      </c>
      <c r="GY30" s="664">
        <f t="shared" si="247"/>
        <v>6003700</v>
      </c>
      <c r="GZ30" s="467">
        <f t="shared" si="247"/>
        <v>3000000</v>
      </c>
      <c r="HA30" s="777">
        <f t="shared" si="247"/>
        <v>3003700</v>
      </c>
      <c r="HB30" s="595">
        <f t="shared" si="247"/>
        <v>2826804.55</v>
      </c>
      <c r="HC30" s="467">
        <f t="shared" si="247"/>
        <v>1412531.22</v>
      </c>
      <c r="HD30" s="778">
        <f t="shared" si="247"/>
        <v>1414273.3299999998</v>
      </c>
      <c r="HE30" s="664">
        <f t="shared" si="247"/>
        <v>0</v>
      </c>
      <c r="HF30" s="467">
        <f t="shared" si="247"/>
        <v>0</v>
      </c>
      <c r="HG30" s="777">
        <f t="shared" si="247"/>
        <v>0</v>
      </c>
      <c r="HH30" s="595">
        <f t="shared" si="247"/>
        <v>0</v>
      </c>
      <c r="HI30" s="467">
        <f t="shared" si="247"/>
        <v>0</v>
      </c>
      <c r="HJ30" s="778">
        <f t="shared" si="247"/>
        <v>0</v>
      </c>
      <c r="HK30" s="570">
        <f t="shared" ref="HK30:HP30" si="252">SUM(HK12:HK29)</f>
        <v>0</v>
      </c>
      <c r="HL30" s="774">
        <f t="shared" ref="HL30:HM30" si="253">SUM(HL12:HL29)</f>
        <v>0</v>
      </c>
      <c r="HM30" s="677">
        <f t="shared" si="253"/>
        <v>0</v>
      </c>
      <c r="HN30" s="344">
        <f t="shared" si="252"/>
        <v>0</v>
      </c>
      <c r="HO30" s="576">
        <f t="shared" si="252"/>
        <v>0</v>
      </c>
      <c r="HP30" s="708">
        <f t="shared" si="252"/>
        <v>0</v>
      </c>
      <c r="HQ30" s="609">
        <f t="shared" ref="HQ30:IS30" si="254">SUM(HQ12:HQ29)</f>
        <v>7632620.7599999998</v>
      </c>
      <c r="HR30" s="657">
        <f t="shared" ref="HR30:HS30" si="255">SUM(HR12:HR29)</f>
        <v>2137133.9400000004</v>
      </c>
      <c r="HS30" s="777">
        <f t="shared" si="255"/>
        <v>5495486.8199999994</v>
      </c>
      <c r="HT30" s="447">
        <f t="shared" si="254"/>
        <v>6711457.6600000001</v>
      </c>
      <c r="HU30" s="774">
        <f t="shared" si="254"/>
        <v>1879208.2600000002</v>
      </c>
      <c r="HV30" s="677">
        <f t="shared" si="254"/>
        <v>4832249.3999999994</v>
      </c>
      <c r="HW30" s="447">
        <f t="shared" si="254"/>
        <v>14363490.91</v>
      </c>
      <c r="HX30" s="657">
        <f t="shared" si="254"/>
        <v>4021777.83</v>
      </c>
      <c r="HY30" s="677">
        <f t="shared" si="254"/>
        <v>10341713.08</v>
      </c>
      <c r="HZ30" s="447">
        <f t="shared" si="254"/>
        <v>12227034.040000003</v>
      </c>
      <c r="IA30" s="657">
        <f t="shared" si="254"/>
        <v>3423569.8699999996</v>
      </c>
      <c r="IB30" s="778">
        <f t="shared" si="254"/>
        <v>8803464.1700000018</v>
      </c>
      <c r="IC30" s="657">
        <f t="shared" ref="IC30:ID30" si="256">SUM(IC12:IC29)</f>
        <v>5302778.13</v>
      </c>
      <c r="ID30" s="778">
        <f t="shared" si="256"/>
        <v>13635713.570000002</v>
      </c>
      <c r="IE30" s="595">
        <f t="shared" si="254"/>
        <v>11497244.34</v>
      </c>
      <c r="IF30" s="862">
        <f t="shared" si="254"/>
        <v>3219228.7499999995</v>
      </c>
      <c r="IG30" s="677">
        <f t="shared" si="254"/>
        <v>8278015.5900000008</v>
      </c>
      <c r="IH30" s="665">
        <f t="shared" si="254"/>
        <v>10467119.200000001</v>
      </c>
      <c r="II30" s="657">
        <f t="shared" si="254"/>
        <v>2930793.68</v>
      </c>
      <c r="IJ30" s="777">
        <f t="shared" si="254"/>
        <v>7536325.5200000005</v>
      </c>
      <c r="IK30" s="595">
        <f t="shared" si="254"/>
        <v>2866246.5700000003</v>
      </c>
      <c r="IL30" s="862">
        <f t="shared" si="254"/>
        <v>802549.08</v>
      </c>
      <c r="IM30" s="677">
        <f t="shared" si="254"/>
        <v>2063697.49</v>
      </c>
      <c r="IN30" s="595">
        <f t="shared" si="254"/>
        <v>1759914.8400000003</v>
      </c>
      <c r="IO30" s="774">
        <f t="shared" si="254"/>
        <v>492776.19000000006</v>
      </c>
      <c r="IP30" s="677">
        <f t="shared" si="254"/>
        <v>1267138.6499999999</v>
      </c>
      <c r="IQ30" s="447">
        <f t="shared" si="254"/>
        <v>113462959.99999999</v>
      </c>
      <c r="IR30" s="1232">
        <f t="shared" si="254"/>
        <v>0</v>
      </c>
      <c r="IS30" s="778">
        <f t="shared" si="254"/>
        <v>0</v>
      </c>
      <c r="IT30" s="1232">
        <f t="shared" ref="IT30:IU30" si="257">SUM(IT12:IT29)</f>
        <v>0</v>
      </c>
      <c r="IU30" s="778">
        <f t="shared" si="257"/>
        <v>0</v>
      </c>
      <c r="IV30" s="578">
        <f>SUM(IV12:IV29)</f>
        <v>18917628.800000001</v>
      </c>
      <c r="IW30" s="680">
        <f>SUM(IW12:IW29)</f>
        <v>48645331.199999996</v>
      </c>
      <c r="IX30" s="1232">
        <f t="shared" ref="IX30:JA30" si="258">SUM(IX12:IX29)</f>
        <v>1887800</v>
      </c>
      <c r="IY30" s="778">
        <f t="shared" si="258"/>
        <v>35012200</v>
      </c>
      <c r="IZ30" s="1232">
        <f t="shared" si="258"/>
        <v>9000000</v>
      </c>
      <c r="JA30" s="447">
        <f t="shared" si="258"/>
        <v>75009924.209999993</v>
      </c>
      <c r="JB30" s="1232">
        <f t="shared" ref="JB30:JL30" si="259">SUM(JB12:JB29)</f>
        <v>0</v>
      </c>
      <c r="JC30" s="677">
        <f t="shared" si="259"/>
        <v>0</v>
      </c>
      <c r="JD30" s="467">
        <f t="shared" ref="JD30:JI30" si="260">SUM(JD12:JD29)</f>
        <v>0</v>
      </c>
      <c r="JE30" s="677">
        <f t="shared" si="260"/>
        <v>0</v>
      </c>
      <c r="JF30" s="576">
        <f t="shared" si="260"/>
        <v>8188870.9100000001</v>
      </c>
      <c r="JG30" s="708">
        <f t="shared" si="260"/>
        <v>21057096.59</v>
      </c>
      <c r="JH30" s="467">
        <f t="shared" si="260"/>
        <v>1880840.0499999998</v>
      </c>
      <c r="JI30" s="677">
        <f t="shared" si="260"/>
        <v>34883116.660000004</v>
      </c>
      <c r="JJ30" s="467">
        <f t="shared" ref="JJ30" si="261">SUM(JJ12:JJ29)</f>
        <v>9000000</v>
      </c>
      <c r="JK30" s="611">
        <f t="shared" si="259"/>
        <v>30146806</v>
      </c>
      <c r="JL30" s="1232">
        <f t="shared" si="259"/>
        <v>0</v>
      </c>
      <c r="JM30" s="677">
        <f t="shared" ref="JM30" si="262">SUM(JM12:JM29)</f>
        <v>0</v>
      </c>
      <c r="JN30" s="467">
        <f>SUM(JN12:JN29)</f>
        <v>8441106</v>
      </c>
      <c r="JO30" s="677">
        <f>SUM(JO12:JO29)</f>
        <v>21705700</v>
      </c>
      <c r="JP30" s="447">
        <f t="shared" ref="JP30:KG30" si="263">SUM(JP12:JP29)</f>
        <v>3601228.12</v>
      </c>
      <c r="JQ30" s="1232">
        <f t="shared" si="263"/>
        <v>0</v>
      </c>
      <c r="JR30" s="677">
        <f t="shared" si="263"/>
        <v>0</v>
      </c>
      <c r="JS30" s="467">
        <f t="shared" ref="JS30:JT30" si="264">SUM(JS12:JS29)</f>
        <v>1008343.91</v>
      </c>
      <c r="JT30" s="677">
        <f t="shared" si="264"/>
        <v>2592884.21</v>
      </c>
      <c r="JU30" s="664">
        <f t="shared" si="263"/>
        <v>30146806</v>
      </c>
      <c r="JV30" s="657">
        <f t="shared" si="263"/>
        <v>0</v>
      </c>
      <c r="JW30" s="677">
        <f t="shared" si="263"/>
        <v>0</v>
      </c>
      <c r="JX30" s="657">
        <f t="shared" ref="JX30:JY30" si="265">SUM(JX12:JX29)</f>
        <v>8441106</v>
      </c>
      <c r="JY30" s="677">
        <f t="shared" si="265"/>
        <v>21705700</v>
      </c>
      <c r="JZ30" s="664">
        <f t="shared" si="263"/>
        <v>3601228.12</v>
      </c>
      <c r="KA30" s="657">
        <f t="shared" si="263"/>
        <v>0</v>
      </c>
      <c r="KB30" s="677">
        <f t="shared" si="263"/>
        <v>0</v>
      </c>
      <c r="KC30" s="467">
        <f>SUM(KC12:KC29)</f>
        <v>1008343.91</v>
      </c>
      <c r="KD30" s="677">
        <f>SUM(KD12:KD29)</f>
        <v>2592884.21</v>
      </c>
      <c r="KE30" s="595">
        <f t="shared" si="263"/>
        <v>0</v>
      </c>
      <c r="KF30" s="1232">
        <f t="shared" ref="KF30" si="266">SUM(KF12:KF29)</f>
        <v>0</v>
      </c>
      <c r="KG30" s="677">
        <f t="shared" si="263"/>
        <v>0</v>
      </c>
      <c r="KH30" s="467">
        <f>SUM(KH12:KH29)</f>
        <v>0</v>
      </c>
      <c r="KI30" s="677">
        <f>SUM(KI12:KI29)</f>
        <v>0</v>
      </c>
      <c r="KJ30" s="594">
        <f t="shared" ref="KJ30:KL30" si="267">SUM(KJ12:KJ29)</f>
        <v>0</v>
      </c>
      <c r="KK30" s="1232">
        <f t="shared" si="267"/>
        <v>0</v>
      </c>
      <c r="KL30" s="677">
        <f t="shared" si="267"/>
        <v>0</v>
      </c>
      <c r="KM30" s="467">
        <f>SUM(KM12:KM29)</f>
        <v>0</v>
      </c>
      <c r="KN30" s="677">
        <f>SUM(KN12:KN29)</f>
        <v>0</v>
      </c>
      <c r="KO30" s="609">
        <f t="shared" ref="KO30:LC30" si="268">SUM(KO12:KO29)</f>
        <v>342198600</v>
      </c>
      <c r="KP30" s="774">
        <f t="shared" ref="KP30:KR30" si="269">SUM(KP12:KP29)</f>
        <v>74109466.669999987</v>
      </c>
      <c r="KQ30" s="1231">
        <f t="shared" si="269"/>
        <v>190567200</v>
      </c>
      <c r="KR30" s="774">
        <f t="shared" si="269"/>
        <v>77521933.329999998</v>
      </c>
      <c r="KS30" s="447">
        <f t="shared" ref="KS30" si="270">SUM(KS12:KS29)</f>
        <v>218179050.84</v>
      </c>
      <c r="KT30" s="467">
        <f t="shared" si="268"/>
        <v>58656620.820000023</v>
      </c>
      <c r="KU30" s="677">
        <f t="shared" si="268"/>
        <v>150831310.75999999</v>
      </c>
      <c r="KV30" s="467">
        <f t="shared" ref="KV30" si="271">SUM(KV12:KV29)</f>
        <v>8691119.2599999998</v>
      </c>
      <c r="KW30" s="473">
        <f t="shared" si="268"/>
        <v>0</v>
      </c>
      <c r="KX30" s="657">
        <f t="shared" ref="KX30" si="272">SUM(KX12:KX29)</f>
        <v>0</v>
      </c>
      <c r="KY30" s="447">
        <f t="shared" si="268"/>
        <v>0</v>
      </c>
      <c r="KZ30" s="774"/>
      <c r="LA30" s="863">
        <f t="shared" si="268"/>
        <v>0</v>
      </c>
      <c r="LB30" s="657">
        <f t="shared" si="268"/>
        <v>0</v>
      </c>
      <c r="LC30" s="677">
        <f t="shared" si="268"/>
        <v>0</v>
      </c>
      <c r="LD30" s="657">
        <f t="shared" ref="LD30:LQ30" si="273">SUM(LD12:LD29)</f>
        <v>0</v>
      </c>
      <c r="LE30" s="863">
        <f t="shared" si="273"/>
        <v>0</v>
      </c>
      <c r="LF30" s="862">
        <f t="shared" si="273"/>
        <v>0</v>
      </c>
      <c r="LG30" s="677">
        <f t="shared" si="273"/>
        <v>0</v>
      </c>
      <c r="LH30" s="657">
        <f t="shared" si="273"/>
        <v>0</v>
      </c>
      <c r="LI30" s="863">
        <f t="shared" ref="LI30" si="274">SUM(LI12:LI29)</f>
        <v>202699999.99999997</v>
      </c>
      <c r="LJ30" s="657">
        <f t="shared" si="273"/>
        <v>5112709.59</v>
      </c>
      <c r="LK30" s="778">
        <f t="shared" si="273"/>
        <v>97141482.170000002</v>
      </c>
      <c r="LL30" s="657">
        <f t="shared" si="273"/>
        <v>100445808.23999999</v>
      </c>
      <c r="LM30" s="863">
        <f t="shared" si="273"/>
        <v>114277931.97000001</v>
      </c>
      <c r="LN30" s="657">
        <f t="shared" si="273"/>
        <v>4074605.4399999995</v>
      </c>
      <c r="LO30" s="777">
        <f t="shared" si="273"/>
        <v>77417503.5</v>
      </c>
      <c r="LP30" s="657">
        <f t="shared" si="273"/>
        <v>32785823.030000001</v>
      </c>
      <c r="LQ30" s="590">
        <f t="shared" si="273"/>
        <v>76955944.660000011</v>
      </c>
      <c r="LR30" s="862">
        <f t="shared" ref="LR30:ME30" si="275">SUM(LR12:LR29)</f>
        <v>0</v>
      </c>
      <c r="LS30" s="677">
        <f t="shared" si="275"/>
        <v>0</v>
      </c>
      <c r="LT30" s="657">
        <f t="shared" ref="LT30" si="276">SUM(LT12:LT29)</f>
        <v>76955944.660000011</v>
      </c>
      <c r="LU30" s="590">
        <f t="shared" ref="LU30" si="277">SUM(LU12:LU29)</f>
        <v>20081875.449999999</v>
      </c>
      <c r="LV30" s="862">
        <f t="shared" si="275"/>
        <v>0</v>
      </c>
      <c r="LW30" s="677">
        <f t="shared" si="275"/>
        <v>0</v>
      </c>
      <c r="LX30" s="657">
        <f t="shared" ref="LX30" si="278">SUM(LX12:LX29)</f>
        <v>20081875.449999999</v>
      </c>
      <c r="LY30" s="590">
        <f t="shared" ref="LY30" si="279">SUM(LY12:LY29)</f>
        <v>125744055.34</v>
      </c>
      <c r="LZ30" s="657">
        <f t="shared" si="275"/>
        <v>5112709.59</v>
      </c>
      <c r="MA30" s="777">
        <f t="shared" si="275"/>
        <v>97141482.170000002</v>
      </c>
      <c r="MB30" s="657">
        <f t="shared" si="275"/>
        <v>23489863.579999998</v>
      </c>
      <c r="MC30" s="590">
        <f t="shared" si="275"/>
        <v>94196056.519999996</v>
      </c>
      <c r="MD30" s="862">
        <f t="shared" si="275"/>
        <v>4074605.4399999995</v>
      </c>
      <c r="ME30" s="677">
        <f t="shared" si="275"/>
        <v>77417503.5</v>
      </c>
      <c r="MF30" s="657">
        <f t="shared" ref="MF30" si="280">SUM(MF12:MF29)</f>
        <v>12703947.58</v>
      </c>
      <c r="MG30" s="344">
        <f t="shared" ref="MG30:MN30" si="281">SUM(MG12:MG29)</f>
        <v>29047894.740000002</v>
      </c>
      <c r="MH30" s="571">
        <f t="shared" si="281"/>
        <v>1052294.74</v>
      </c>
      <c r="MI30" s="680">
        <f t="shared" si="281"/>
        <v>19993600</v>
      </c>
      <c r="MJ30" s="597">
        <f t="shared" ref="MJ30:MK30" si="282">SUM(MJ12:MJ29)</f>
        <v>400100</v>
      </c>
      <c r="MK30" s="677">
        <f t="shared" si="282"/>
        <v>7601900</v>
      </c>
      <c r="ML30" s="344">
        <f t="shared" ref="ML30" si="283">SUM(ML12:ML29)</f>
        <v>11299452.940000001</v>
      </c>
      <c r="MM30" s="467">
        <f t="shared" si="281"/>
        <v>564972.63</v>
      </c>
      <c r="MN30" s="778">
        <f t="shared" si="281"/>
        <v>10734480.310000001</v>
      </c>
      <c r="MO30" s="467">
        <f t="shared" ref="MO30:MP30" si="284">SUM(MO12:MO29)</f>
        <v>0</v>
      </c>
      <c r="MP30" s="778">
        <f t="shared" si="284"/>
        <v>0</v>
      </c>
      <c r="MQ30" s="594">
        <f t="shared" ref="MQ30" si="285">SUM(MQ12:MQ29)</f>
        <v>29047894.740000002</v>
      </c>
      <c r="MR30" s="472">
        <f t="shared" ref="MR30:MX30" si="286">SUM(MR12:MR29)</f>
        <v>1052294.74</v>
      </c>
      <c r="MS30" s="778">
        <f t="shared" si="286"/>
        <v>19993600</v>
      </c>
      <c r="MT30" s="472">
        <f t="shared" ref="MT30:MV30" si="287">SUM(MT12:MT29)</f>
        <v>400100</v>
      </c>
      <c r="MU30" s="778">
        <f t="shared" si="287"/>
        <v>7601900</v>
      </c>
      <c r="MV30" s="594">
        <f t="shared" si="287"/>
        <v>11299452.940000001</v>
      </c>
      <c r="MW30" s="467">
        <f t="shared" si="286"/>
        <v>564972.63</v>
      </c>
      <c r="MX30" s="778">
        <f t="shared" si="286"/>
        <v>10734480.310000001</v>
      </c>
      <c r="MY30" s="472">
        <f t="shared" ref="MY30:NA30" si="288">SUM(MY12:MY29)</f>
        <v>0</v>
      </c>
      <c r="MZ30" s="778">
        <f t="shared" si="288"/>
        <v>0</v>
      </c>
      <c r="NA30" s="594">
        <f t="shared" si="288"/>
        <v>0</v>
      </c>
      <c r="NB30" s="571">
        <f t="shared" ref="NB30:NF30" si="289">SUM(NB12:NB29)</f>
        <v>0</v>
      </c>
      <c r="NC30" s="680">
        <f t="shared" si="289"/>
        <v>0</v>
      </c>
      <c r="ND30" s="467">
        <f t="shared" si="289"/>
        <v>0</v>
      </c>
      <c r="NE30" s="778">
        <f t="shared" si="289"/>
        <v>0</v>
      </c>
      <c r="NF30" s="594">
        <f t="shared" si="289"/>
        <v>0</v>
      </c>
      <c r="NG30" s="467">
        <f t="shared" ref="NG30:NJ30" si="290">SUM(NG12:NG29)</f>
        <v>0</v>
      </c>
      <c r="NH30" s="778">
        <f t="shared" si="290"/>
        <v>0</v>
      </c>
      <c r="NI30" s="467">
        <f t="shared" si="290"/>
        <v>0</v>
      </c>
      <c r="NJ30" s="778">
        <f t="shared" si="290"/>
        <v>0</v>
      </c>
      <c r="NK30" s="473">
        <f t="shared" ref="NK30:NQ30" si="291">SUM(NK12:NK29)</f>
        <v>0</v>
      </c>
      <c r="NL30" s="467">
        <f t="shared" si="291"/>
        <v>0</v>
      </c>
      <c r="NM30" s="777">
        <f t="shared" si="291"/>
        <v>0</v>
      </c>
      <c r="NN30" s="447">
        <f t="shared" si="291"/>
        <v>0</v>
      </c>
      <c r="NO30" s="607">
        <f t="shared" si="291"/>
        <v>0</v>
      </c>
      <c r="NP30" s="677">
        <f t="shared" si="291"/>
        <v>0</v>
      </c>
      <c r="NQ30" s="570">
        <f t="shared" si="291"/>
        <v>458302101.00999999</v>
      </c>
      <c r="NR30" s="571">
        <f t="shared" ref="NR30:NW30" si="292">SUM(NR12:NR29)</f>
        <v>0</v>
      </c>
      <c r="NS30" s="705">
        <f t="shared" si="292"/>
        <v>0</v>
      </c>
      <c r="NT30" s="571">
        <f t="shared" si="292"/>
        <v>15073131.57</v>
      </c>
      <c r="NU30" s="680">
        <f t="shared" si="292"/>
        <v>286389500</v>
      </c>
      <c r="NV30" s="472">
        <f t="shared" si="292"/>
        <v>29103051.440000001</v>
      </c>
      <c r="NW30" s="708">
        <f t="shared" si="292"/>
        <v>127736418</v>
      </c>
      <c r="NX30" s="570">
        <f t="shared" ref="NX30" si="293">SUM(NX12:NX29)</f>
        <v>136454963.08000001</v>
      </c>
      <c r="NY30" s="597">
        <f t="shared" ref="NY30:OD30" si="294">SUM(NY12:NY29)</f>
        <v>0</v>
      </c>
      <c r="NZ30" s="677">
        <f t="shared" si="294"/>
        <v>0</v>
      </c>
      <c r="OA30" s="597">
        <f t="shared" si="294"/>
        <v>1341800.2400000002</v>
      </c>
      <c r="OB30" s="677">
        <f t="shared" si="294"/>
        <v>25494204.719999999</v>
      </c>
      <c r="OC30" s="467">
        <f t="shared" si="294"/>
        <v>26742025.890000001</v>
      </c>
      <c r="OD30" s="677">
        <f t="shared" si="294"/>
        <v>82876932.230000004</v>
      </c>
      <c r="OE30" s="570">
        <f t="shared" ref="OE30" si="295">SUM(OE12:OE29)</f>
        <v>30236421.050000001</v>
      </c>
      <c r="OF30" s="571">
        <f>SUM(OF12:OF29)</f>
        <v>1511821.0500000007</v>
      </c>
      <c r="OG30" s="680">
        <f>SUM(OG12:OG29)</f>
        <v>28724600</v>
      </c>
      <c r="OH30" s="572">
        <f t="shared" ref="OH30:OI30" si="296">SUM(OH12:OH29)</f>
        <v>0</v>
      </c>
      <c r="OI30" s="680">
        <f t="shared" si="296"/>
        <v>0</v>
      </c>
      <c r="OJ30" s="572">
        <f>SUM(OJ12:OJ29)</f>
        <v>0</v>
      </c>
      <c r="OK30" s="680">
        <f>SUM(OK12:OK29)</f>
        <v>0</v>
      </c>
      <c r="OL30" s="570">
        <f t="shared" ref="OL30" si="297">SUM(OL12:OL29)</f>
        <v>11877721.65</v>
      </c>
      <c r="OM30" s="467">
        <f>SUM(OM12:OM29)</f>
        <v>593886.04000000097</v>
      </c>
      <c r="ON30" s="778">
        <f>SUM(ON12:ON29)</f>
        <v>11283835.609999999</v>
      </c>
      <c r="OO30" s="597">
        <f t="shared" ref="OO30:OP30" si="298">SUM(OO12:OO29)</f>
        <v>0</v>
      </c>
      <c r="OP30" s="677">
        <f t="shared" si="298"/>
        <v>0</v>
      </c>
      <c r="OQ30" s="467">
        <f>SUM(OQ12:OQ29)</f>
        <v>0</v>
      </c>
      <c r="OR30" s="778">
        <f>SUM(OR12:OR29)</f>
        <v>0</v>
      </c>
      <c r="OS30" s="648">
        <f t="shared" ref="OS30" si="299">SUM(OS12:OS29)</f>
        <v>30236421.050000001</v>
      </c>
      <c r="OT30" s="571">
        <f>SUM(OT12:OT29)</f>
        <v>1511821.0500000007</v>
      </c>
      <c r="OU30" s="680">
        <f>SUM(OU12:OU29)</f>
        <v>28724600</v>
      </c>
      <c r="OV30" s="571">
        <f t="shared" ref="OV30:OW30" si="300">SUM(OV12:OV29)</f>
        <v>0</v>
      </c>
      <c r="OW30" s="680">
        <f t="shared" si="300"/>
        <v>0</v>
      </c>
      <c r="OX30" s="572">
        <f>SUM(OX12:OX29)</f>
        <v>0</v>
      </c>
      <c r="OY30" s="680">
        <f>SUM(OY12:OY29)</f>
        <v>0</v>
      </c>
      <c r="OZ30" s="648">
        <f t="shared" ref="OZ30" si="301">SUM(OZ12:OZ29)</f>
        <v>11877721.65</v>
      </c>
      <c r="PA30" s="571">
        <f>SUM(PA12:PA29)</f>
        <v>593886.04000000097</v>
      </c>
      <c r="PB30" s="680">
        <f>SUM(PB12:PB29)</f>
        <v>11283835.609999999</v>
      </c>
      <c r="PC30" s="571">
        <f t="shared" ref="PC30:PD30" si="302">SUM(PC12:PC29)</f>
        <v>0</v>
      </c>
      <c r="PD30" s="680">
        <f t="shared" si="302"/>
        <v>0</v>
      </c>
      <c r="PE30" s="572">
        <f>SUM(PE12:PE29)</f>
        <v>0</v>
      </c>
      <c r="PF30" s="680">
        <f>SUM(PF12:PF29)</f>
        <v>0</v>
      </c>
      <c r="PG30" s="648">
        <f t="shared" ref="PG30" si="303">SUM(PG12:PG29)</f>
        <v>0</v>
      </c>
      <c r="PH30" s="571">
        <f t="shared" ref="PH30:PM30" si="304">SUM(PH12:PH29)</f>
        <v>0</v>
      </c>
      <c r="PI30" s="680">
        <f t="shared" si="304"/>
        <v>0</v>
      </c>
      <c r="PJ30" s="654">
        <f t="shared" si="304"/>
        <v>0</v>
      </c>
      <c r="PK30" s="680">
        <f t="shared" si="304"/>
        <v>0</v>
      </c>
      <c r="PL30" s="572">
        <f t="shared" si="304"/>
        <v>0</v>
      </c>
      <c r="PM30" s="680">
        <f t="shared" si="304"/>
        <v>0</v>
      </c>
      <c r="PN30" s="648">
        <f t="shared" ref="PN30" si="305">SUM(PN12:PN29)</f>
        <v>0</v>
      </c>
      <c r="PO30" s="467">
        <f>SUM(PO12:PO29)</f>
        <v>0</v>
      </c>
      <c r="PP30" s="778">
        <f>SUM(PP12:PP29)</f>
        <v>0</v>
      </c>
      <c r="PQ30" s="597">
        <f t="shared" ref="PQ30:PR30" si="306">SUM(PQ12:PQ29)</f>
        <v>0</v>
      </c>
      <c r="PR30" s="677">
        <f t="shared" si="306"/>
        <v>0</v>
      </c>
      <c r="PS30" s="467">
        <f>SUM(PS12:PS29)</f>
        <v>0</v>
      </c>
      <c r="PT30" s="778">
        <f>SUM(PT12:PT29)</f>
        <v>0</v>
      </c>
      <c r="PU30" s="447">
        <f t="shared" ref="PU30" si="307">SUM(PU12:PU29)</f>
        <v>32702694.730000004</v>
      </c>
      <c r="PV30" s="657">
        <f t="shared" ref="PV30:QG30" si="308">SUM(PV12:PV29)</f>
        <v>1635134.73</v>
      </c>
      <c r="PW30" s="778">
        <f t="shared" si="308"/>
        <v>31067560</v>
      </c>
      <c r="PX30" s="447">
        <f t="shared" si="308"/>
        <v>0</v>
      </c>
      <c r="PY30" s="657">
        <f t="shared" si="308"/>
        <v>0</v>
      </c>
      <c r="PZ30" s="677">
        <f t="shared" si="308"/>
        <v>0</v>
      </c>
      <c r="QA30" s="609">
        <f t="shared" si="308"/>
        <v>9318778.9499999993</v>
      </c>
      <c r="QB30" s="657">
        <f t="shared" si="308"/>
        <v>465938.95</v>
      </c>
      <c r="QC30" s="777">
        <f t="shared" si="308"/>
        <v>8852840</v>
      </c>
      <c r="QD30" s="447">
        <f t="shared" ref="QD30" si="309">SUM(QD12:QD29)</f>
        <v>0</v>
      </c>
      <c r="QE30" s="657">
        <f t="shared" si="308"/>
        <v>0</v>
      </c>
      <c r="QF30" s="677">
        <f t="shared" si="308"/>
        <v>0</v>
      </c>
      <c r="QG30" s="595">
        <f t="shared" si="308"/>
        <v>9318778.9499999993</v>
      </c>
      <c r="QH30" s="657">
        <f t="shared" ref="QH30:QJ30" si="310">SUM(QH12:QH29)</f>
        <v>465938.95</v>
      </c>
      <c r="QI30" s="777">
        <f t="shared" si="310"/>
        <v>8852840</v>
      </c>
      <c r="QJ30" s="595">
        <f t="shared" si="310"/>
        <v>0</v>
      </c>
      <c r="QK30" s="657">
        <f t="shared" ref="QK30:QL30" si="311">SUM(QK12:QK29)</f>
        <v>0</v>
      </c>
      <c r="QL30" s="777">
        <f t="shared" si="311"/>
        <v>0</v>
      </c>
      <c r="QM30" s="595">
        <f t="shared" ref="QM30" si="312">SUM(QM12:QM29)</f>
        <v>0</v>
      </c>
      <c r="QN30" s="657">
        <f t="shared" ref="QN30:QP30" si="313">SUM(QN12:QN29)</f>
        <v>0</v>
      </c>
      <c r="QO30" s="777">
        <f t="shared" si="313"/>
        <v>0</v>
      </c>
      <c r="QP30" s="595">
        <f t="shared" si="313"/>
        <v>0</v>
      </c>
      <c r="QQ30" s="657">
        <f t="shared" ref="QQ30:QR30" si="314">SUM(QQ12:QQ29)</f>
        <v>0</v>
      </c>
      <c r="QR30" s="778">
        <f t="shared" si="314"/>
        <v>0</v>
      </c>
      <c r="QS30" s="447">
        <f t="shared" ref="QS30:RM30" si="315">SUM(QS12:QS29)</f>
        <v>377576307.08999991</v>
      </c>
      <c r="QT30" s="447">
        <f t="shared" si="315"/>
        <v>221712814.07000005</v>
      </c>
      <c r="QU30" s="473">
        <f t="shared" si="315"/>
        <v>131835964.41</v>
      </c>
      <c r="QV30" s="447">
        <f t="shared" si="315"/>
        <v>45119862.960000008</v>
      </c>
      <c r="QW30" s="864">
        <f t="shared" si="315"/>
        <v>74411319.589999989</v>
      </c>
      <c r="QX30" s="590">
        <f t="shared" si="315"/>
        <v>13950925</v>
      </c>
      <c r="QY30" s="865">
        <f t="shared" si="315"/>
        <v>57424644.82</v>
      </c>
      <c r="QZ30" s="590">
        <f t="shared" si="315"/>
        <v>31168937.960000001</v>
      </c>
      <c r="RA30" s="344">
        <f t="shared" si="315"/>
        <v>6204598026.7299995</v>
      </c>
      <c r="RB30" s="571">
        <f t="shared" si="315"/>
        <v>5986154377.8400002</v>
      </c>
      <c r="RC30" s="472">
        <f t="shared" si="315"/>
        <v>218443648.89000002</v>
      </c>
      <c r="RD30" s="344">
        <f t="shared" si="315"/>
        <v>4740866801.21</v>
      </c>
      <c r="RE30" s="572">
        <f t="shared" si="315"/>
        <v>4629167221.29</v>
      </c>
      <c r="RF30" s="472">
        <f t="shared" si="315"/>
        <v>111699579.92</v>
      </c>
      <c r="RG30" s="473">
        <f t="shared" si="315"/>
        <v>5676165673.5999994</v>
      </c>
      <c r="RH30" s="447">
        <f t="shared" si="315"/>
        <v>4411584243.6399994</v>
      </c>
      <c r="RI30" s="473">
        <f t="shared" si="315"/>
        <v>191589891</v>
      </c>
      <c r="RJ30" s="447">
        <f t="shared" si="315"/>
        <v>143296432</v>
      </c>
      <c r="RK30" s="473">
        <f t="shared" si="315"/>
        <v>44276439</v>
      </c>
      <c r="RL30" s="447">
        <f t="shared" si="315"/>
        <v>33303949</v>
      </c>
      <c r="RM30" s="447">
        <f t="shared" si="315"/>
        <v>32076000</v>
      </c>
      <c r="RN30" s="447">
        <f t="shared" ref="RN30" si="316">SUM(RN12:RN29)</f>
        <v>20852690.699999999</v>
      </c>
      <c r="RO30" s="609">
        <f t="shared" ref="RO30:TB30" si="317">SUM(RO12:RO29)</f>
        <v>46200</v>
      </c>
      <c r="RP30" s="447">
        <f t="shared" si="317"/>
        <v>8489.5</v>
      </c>
      <c r="RQ30" s="609">
        <f t="shared" si="317"/>
        <v>6961980</v>
      </c>
      <c r="RR30" s="447">
        <f t="shared" si="317"/>
        <v>4223556</v>
      </c>
      <c r="RS30" s="609">
        <f t="shared" si="317"/>
        <v>1450153</v>
      </c>
      <c r="RT30" s="447">
        <f t="shared" si="317"/>
        <v>703926</v>
      </c>
      <c r="RU30" s="570">
        <f t="shared" si="317"/>
        <v>2248615</v>
      </c>
      <c r="RV30" s="447">
        <f t="shared" si="317"/>
        <v>2111778</v>
      </c>
      <c r="RW30" s="344">
        <f t="shared" si="317"/>
        <v>197117283.02000001</v>
      </c>
      <c r="RX30" s="657">
        <f>SUM(RX12:RX29)</f>
        <v>55192839.240000002</v>
      </c>
      <c r="RY30" s="677">
        <f>SUM(RY12:RY29)</f>
        <v>141924443.78</v>
      </c>
      <c r="RZ30" s="344">
        <f t="shared" ref="RZ30" si="318">SUM(RZ12:RZ29)</f>
        <v>90246970.019999996</v>
      </c>
      <c r="SA30" s="578">
        <f>SUM(SA12:SA29)</f>
        <v>25269151.650000002</v>
      </c>
      <c r="SB30" s="680">
        <f>SUM(SB12:SB29)</f>
        <v>64977818.369999997</v>
      </c>
      <c r="SC30" s="344">
        <f t="shared" ref="SC30:SD30" si="319">SUM(SC12:SC29)</f>
        <v>8340257.1100000003</v>
      </c>
      <c r="SD30" s="447">
        <f t="shared" si="319"/>
        <v>0</v>
      </c>
      <c r="SE30" s="473">
        <f t="shared" si="317"/>
        <v>44325535</v>
      </c>
      <c r="SF30" s="571">
        <f t="shared" si="317"/>
        <v>18929535</v>
      </c>
      <c r="SG30" s="1564">
        <f t="shared" si="317"/>
        <v>25396000</v>
      </c>
      <c r="SH30" s="344">
        <f t="shared" si="317"/>
        <v>34534766.350000001</v>
      </c>
      <c r="SI30" s="657">
        <f t="shared" si="317"/>
        <v>15713445</v>
      </c>
      <c r="SJ30" s="677">
        <f t="shared" si="317"/>
        <v>18821321.350000001</v>
      </c>
      <c r="SK30" s="546">
        <f t="shared" si="317"/>
        <v>922584681.18999994</v>
      </c>
      <c r="SL30" s="547">
        <f t="shared" si="317"/>
        <v>624659969.8900001</v>
      </c>
      <c r="SM30" s="473">
        <f t="shared" si="317"/>
        <v>254593080</v>
      </c>
      <c r="SN30" s="571">
        <f t="shared" si="317"/>
        <v>0</v>
      </c>
      <c r="SO30" s="680">
        <f t="shared" si="317"/>
        <v>254593080</v>
      </c>
      <c r="SP30" s="447">
        <f t="shared" si="317"/>
        <v>181699822.67000005</v>
      </c>
      <c r="SQ30" s="571">
        <f t="shared" si="317"/>
        <v>0</v>
      </c>
      <c r="SR30" s="680">
        <f t="shared" si="317"/>
        <v>181699822.67000005</v>
      </c>
      <c r="SS30" s="344">
        <f t="shared" si="317"/>
        <v>0</v>
      </c>
      <c r="ST30" s="708">
        <f t="shared" ref="ST30:SW30" si="320">SUM(ST12:ST29)</f>
        <v>0</v>
      </c>
      <c r="SU30" s="680">
        <f t="shared" ref="SU30" si="321">SUM(SU12:SU29)</f>
        <v>0</v>
      </c>
      <c r="SV30" s="344">
        <f t="shared" si="320"/>
        <v>0</v>
      </c>
      <c r="SW30" s="680">
        <f t="shared" si="320"/>
        <v>0</v>
      </c>
      <c r="SX30" s="680">
        <f t="shared" ref="SX30" si="322">SUM(SX12:SX29)</f>
        <v>0</v>
      </c>
      <c r="SY30" s="547">
        <f t="shared" si="317"/>
        <v>0</v>
      </c>
      <c r="SZ30" s="680">
        <f t="shared" si="317"/>
        <v>0</v>
      </c>
      <c r="TA30" s="547">
        <f t="shared" si="317"/>
        <v>0</v>
      </c>
      <c r="TB30" s="680">
        <f t="shared" si="317"/>
        <v>0</v>
      </c>
      <c r="TC30" s="547">
        <f t="shared" ref="TC30:VG30" si="323">SUM(TC12:TC29)</f>
        <v>0</v>
      </c>
      <c r="TD30" s="680">
        <f t="shared" si="323"/>
        <v>0</v>
      </c>
      <c r="TE30" s="547">
        <f t="shared" si="323"/>
        <v>0</v>
      </c>
      <c r="TF30" s="680">
        <f t="shared" si="323"/>
        <v>0</v>
      </c>
      <c r="TG30" s="1084">
        <f t="shared" si="323"/>
        <v>0</v>
      </c>
      <c r="TH30" s="550">
        <f t="shared" si="323"/>
        <v>0</v>
      </c>
      <c r="TI30" s="1088">
        <f t="shared" si="323"/>
        <v>0</v>
      </c>
      <c r="TJ30" s="550">
        <f t="shared" si="323"/>
        <v>0</v>
      </c>
      <c r="TK30" s="547">
        <f t="shared" si="323"/>
        <v>0</v>
      </c>
      <c r="TL30" s="1108">
        <f t="shared" si="323"/>
        <v>0</v>
      </c>
      <c r="TM30" s="881">
        <f t="shared" si="323"/>
        <v>0</v>
      </c>
      <c r="TN30" s="547">
        <f t="shared" si="323"/>
        <v>0</v>
      </c>
      <c r="TO30" s="1108">
        <f t="shared" si="323"/>
        <v>0</v>
      </c>
      <c r="TP30" s="881">
        <f t="shared" si="323"/>
        <v>0</v>
      </c>
      <c r="TQ30" s="547">
        <f t="shared" si="323"/>
        <v>276117432</v>
      </c>
      <c r="TR30" s="1108">
        <f t="shared" si="323"/>
        <v>106117432</v>
      </c>
      <c r="TS30" s="881">
        <f t="shared" si="323"/>
        <v>170000000</v>
      </c>
      <c r="TT30" s="547">
        <f t="shared" si="323"/>
        <v>169152288.16999999</v>
      </c>
      <c r="TU30" s="552">
        <f t="shared" si="323"/>
        <v>21401568</v>
      </c>
      <c r="TV30" s="1298">
        <f t="shared" si="323"/>
        <v>147750720.16999999</v>
      </c>
      <c r="TW30" s="1299">
        <f t="shared" si="323"/>
        <v>0</v>
      </c>
      <c r="TX30" s="895">
        <f t="shared" si="323"/>
        <v>0</v>
      </c>
      <c r="TY30" s="1299">
        <f t="shared" si="323"/>
        <v>276117432</v>
      </c>
      <c r="TZ30" s="895">
        <f t="shared" si="323"/>
        <v>169152288.16999999</v>
      </c>
      <c r="UA30" s="447">
        <f t="shared" ref="UA30:UG30" si="324">SUM(UA12:UA29)</f>
        <v>1000000</v>
      </c>
      <c r="UB30" s="657">
        <f t="shared" si="324"/>
        <v>0</v>
      </c>
      <c r="UC30" s="677">
        <f t="shared" si="324"/>
        <v>1000000</v>
      </c>
      <c r="UD30" s="447">
        <f t="shared" si="324"/>
        <v>1000000</v>
      </c>
      <c r="UE30" s="657">
        <f t="shared" si="324"/>
        <v>0</v>
      </c>
      <c r="UF30" s="677">
        <f t="shared" si="324"/>
        <v>1000000</v>
      </c>
      <c r="UG30" s="447">
        <f t="shared" si="324"/>
        <v>5000000</v>
      </c>
      <c r="UH30" s="657">
        <f t="shared" ref="UH30:UM30" si="325">SUM(UH12:UH29)</f>
        <v>0</v>
      </c>
      <c r="UI30" s="677">
        <f t="shared" si="325"/>
        <v>5000000</v>
      </c>
      <c r="UJ30" s="677">
        <f t="shared" ref="UJ30" si="326">SUM(UJ12:UJ29)</f>
        <v>0</v>
      </c>
      <c r="UK30" s="447">
        <f t="shared" si="325"/>
        <v>5000000</v>
      </c>
      <c r="UL30" s="657">
        <f t="shared" si="325"/>
        <v>0</v>
      </c>
      <c r="UM30" s="677">
        <f t="shared" si="325"/>
        <v>5000000</v>
      </c>
      <c r="UN30" s="677">
        <f t="shared" ref="UN30" si="327">SUM(UN12:UN29)</f>
        <v>0</v>
      </c>
      <c r="UO30" s="551">
        <f t="shared" si="323"/>
        <v>268297988.65999997</v>
      </c>
      <c r="UP30" s="1108">
        <f t="shared" si="323"/>
        <v>0</v>
      </c>
      <c r="UQ30" s="1208">
        <v>0</v>
      </c>
      <c r="UR30" s="553">
        <f t="shared" si="323"/>
        <v>202341600</v>
      </c>
      <c r="US30" s="552">
        <f t="shared" si="323"/>
        <v>0</v>
      </c>
      <c r="UT30" s="553">
        <f>SUM(UT12:UT29)</f>
        <v>48036000</v>
      </c>
      <c r="UU30" s="552">
        <f t="shared" ref="UU30:UV30" si="328">SUM(UU12:UU29)</f>
        <v>17920388.659999996</v>
      </c>
      <c r="UV30" s="551">
        <f t="shared" si="328"/>
        <v>166643112.88</v>
      </c>
      <c r="UW30" s="553">
        <f>SUM(UW12:UW29)</f>
        <v>0</v>
      </c>
      <c r="UX30" s="910">
        <f>SUM(UX12:UX29)</f>
        <v>0</v>
      </c>
      <c r="UY30" s="1105">
        <f t="shared" si="323"/>
        <v>100686724.22</v>
      </c>
      <c r="UZ30" s="1105">
        <f t="shared" si="323"/>
        <v>0</v>
      </c>
      <c r="VA30" s="552">
        <f t="shared" ref="VA30" si="329">SUM(VA12:VA29)</f>
        <v>48036000</v>
      </c>
      <c r="VB30" s="1105">
        <f t="shared" ref="VB30" si="330">SUM(VB12:VB29)</f>
        <v>17920388.659999996</v>
      </c>
      <c r="VC30" s="547">
        <f t="shared" ref="VC30" si="331">SUM(VC12:VC29)</f>
        <v>117576180.53000002</v>
      </c>
      <c r="VD30" s="553">
        <f t="shared" si="323"/>
        <v>50530208.899999999</v>
      </c>
      <c r="VE30" s="553">
        <f t="shared" ref="VE30" si="332">SUM(VE12:VE29)</f>
        <v>67045971.630000003</v>
      </c>
      <c r="VF30" s="547">
        <f t="shared" si="323"/>
        <v>101164746.17</v>
      </c>
      <c r="VG30" s="552">
        <f t="shared" si="323"/>
        <v>34118774.540000007</v>
      </c>
      <c r="VH30" s="552">
        <f t="shared" ref="VH30" si="333">SUM(VH12:VH29)</f>
        <v>67045971.630000003</v>
      </c>
      <c r="VI30" s="895">
        <f t="shared" ref="VI30" si="334">SUM(VI12:VI29)</f>
        <v>113383023.74000001</v>
      </c>
      <c r="VJ30" s="552">
        <f t="shared" ref="VJ30:WL30" si="335">SUM(VJ12:VJ29)</f>
        <v>50530208.899999999</v>
      </c>
      <c r="VK30" s="552">
        <f t="shared" ref="VK30" si="336">SUM(VK12:VK29)</f>
        <v>62852814.840000004</v>
      </c>
      <c r="VL30" s="895">
        <f t="shared" ref="VL30:VN30" si="337">SUM(VL12:VL29)</f>
        <v>96971589.38000001</v>
      </c>
      <c r="VM30" s="552">
        <f t="shared" si="337"/>
        <v>34118774.540000007</v>
      </c>
      <c r="VN30" s="552">
        <f t="shared" si="337"/>
        <v>62852814.840000004</v>
      </c>
      <c r="VO30" s="895">
        <f t="shared" ref="VO30" si="338">SUM(VO12:VO29)</f>
        <v>4193156.79</v>
      </c>
      <c r="VP30" s="553">
        <f t="shared" si="335"/>
        <v>0</v>
      </c>
      <c r="VQ30" s="553"/>
      <c r="VR30" s="895">
        <f t="shared" si="335"/>
        <v>4193156.79</v>
      </c>
      <c r="VS30" s="552">
        <f t="shared" si="335"/>
        <v>0</v>
      </c>
      <c r="VT30" s="552">
        <f t="shared" si="335"/>
        <v>4193156.79</v>
      </c>
      <c r="VU30" s="555">
        <f t="shared" si="335"/>
        <v>-25316000</v>
      </c>
      <c r="VV30" s="551">
        <f t="shared" si="335"/>
        <v>-1338032.5900000001</v>
      </c>
      <c r="VW30" s="548">
        <f t="shared" si="335"/>
        <v>0</v>
      </c>
      <c r="VX30" s="548">
        <f t="shared" si="335"/>
        <v>0</v>
      </c>
      <c r="VY30" s="548">
        <f t="shared" si="335"/>
        <v>2300000</v>
      </c>
      <c r="VZ30" s="548">
        <f t="shared" si="335"/>
        <v>2300000</v>
      </c>
      <c r="WA30" s="556">
        <f t="shared" si="335"/>
        <v>2300000</v>
      </c>
      <c r="WB30" s="550">
        <f t="shared" si="335"/>
        <v>2300000</v>
      </c>
      <c r="WC30" s="557">
        <f t="shared" si="335"/>
        <v>0</v>
      </c>
      <c r="WD30" s="557">
        <f t="shared" si="335"/>
        <v>0</v>
      </c>
      <c r="WE30" s="548">
        <f t="shared" si="335"/>
        <v>-23200000</v>
      </c>
      <c r="WF30" s="548">
        <f t="shared" si="335"/>
        <v>-1850000</v>
      </c>
      <c r="WG30" s="548">
        <f t="shared" si="335"/>
        <v>-4416000</v>
      </c>
      <c r="WH30" s="548">
        <f t="shared" si="335"/>
        <v>-1788032.59</v>
      </c>
      <c r="WI30" s="557">
        <f t="shared" si="335"/>
        <v>-4416000</v>
      </c>
      <c r="WJ30" s="557">
        <f t="shared" si="335"/>
        <v>-1788032.59</v>
      </c>
      <c r="WK30" s="557">
        <f t="shared" si="335"/>
        <v>0</v>
      </c>
      <c r="WL30" s="557">
        <f t="shared" si="335"/>
        <v>0</v>
      </c>
      <c r="WM30" s="252">
        <f>'Проверочная  таблица'!WE30+'Проверочная  таблица'!WG30</f>
        <v>-27616000</v>
      </c>
      <c r="WN30" s="252">
        <f>'Проверочная  таблица'!WF30+'Проверочная  таблица'!WH30</f>
        <v>-3638032.59</v>
      </c>
    </row>
    <row r="31" spans="1:613" s="338" customFormat="1" ht="25.5" customHeight="1" x14ac:dyDescent="0.25">
      <c r="A31" s="351"/>
      <c r="B31" s="522"/>
      <c r="C31" s="468"/>
      <c r="D31" s="498"/>
      <c r="E31" s="466"/>
      <c r="F31" s="738"/>
      <c r="G31" s="739"/>
      <c r="H31" s="740"/>
      <c r="I31" s="739"/>
      <c r="J31" s="741"/>
      <c r="K31" s="742"/>
      <c r="L31" s="741"/>
      <c r="M31" s="760"/>
      <c r="N31" s="739"/>
      <c r="O31" s="775"/>
      <c r="P31" s="739"/>
      <c r="Q31" s="739"/>
      <c r="R31" s="743"/>
      <c r="S31" s="742"/>
      <c r="T31" s="743"/>
      <c r="U31" s="760"/>
      <c r="V31" s="740"/>
      <c r="W31" s="740"/>
      <c r="X31" s="796"/>
      <c r="Y31" s="744"/>
      <c r="Z31" s="744"/>
      <c r="AA31" s="738"/>
      <c r="AB31" s="740"/>
      <c r="AC31" s="744"/>
      <c r="AD31" s="744"/>
      <c r="AE31" s="743"/>
      <c r="AF31" s="742"/>
      <c r="AG31" s="743"/>
      <c r="AH31" s="742"/>
      <c r="AI31" s="598"/>
      <c r="AJ31" s="598"/>
      <c r="AK31" s="471"/>
      <c r="AL31" s="850"/>
      <c r="AM31" s="821"/>
      <c r="AN31" s="851"/>
      <c r="AO31" s="821"/>
      <c r="AP31" s="647"/>
      <c r="AQ31" s="471"/>
      <c r="AR31" s="519"/>
      <c r="AS31" s="519"/>
      <c r="AT31" s="519"/>
      <c r="AU31" s="624"/>
      <c r="AV31" s="647"/>
      <c r="AW31" s="589"/>
      <c r="AX31" s="850"/>
      <c r="AY31" s="469"/>
      <c r="AZ31" s="763"/>
      <c r="BA31" s="471"/>
      <c r="BB31" s="647"/>
      <c r="BC31" s="647"/>
      <c r="BD31" s="763"/>
      <c r="BE31" s="670"/>
      <c r="BF31" s="763"/>
      <c r="BG31" s="593"/>
      <c r="BH31" s="647"/>
      <c r="BI31" s="668"/>
      <c r="BJ31" s="647"/>
      <c r="BK31" s="763"/>
      <c r="BL31" s="647"/>
      <c r="BM31" s="670"/>
      <c r="BN31" s="763"/>
      <c r="BO31" s="469"/>
      <c r="BP31" s="763"/>
      <c r="BQ31" s="670"/>
      <c r="BR31" s="763"/>
      <c r="BS31" s="647"/>
      <c r="BT31" s="763"/>
      <c r="BU31" s="471"/>
      <c r="BV31" s="821"/>
      <c r="BW31" s="821"/>
      <c r="BX31" s="469"/>
      <c r="BY31" s="821"/>
      <c r="BZ31" s="471"/>
      <c r="CA31" s="659"/>
      <c r="CB31" s="647"/>
      <c r="CC31" s="469"/>
      <c r="CD31" s="469"/>
      <c r="CE31" s="471"/>
      <c r="CF31" s="469"/>
      <c r="CG31" s="469"/>
      <c r="CH31" s="469"/>
      <c r="CI31" s="469"/>
      <c r="CJ31" s="471"/>
      <c r="CK31" s="647"/>
      <c r="CL31" s="763"/>
      <c r="CM31" s="469"/>
      <c r="CN31" s="469"/>
      <c r="CO31" s="592"/>
      <c r="CP31" s="592"/>
      <c r="CQ31" s="592"/>
      <c r="CR31" s="1074"/>
      <c r="CS31" s="466"/>
      <c r="CT31" s="1077"/>
      <c r="CU31" s="596"/>
      <c r="CV31" s="780"/>
      <c r="CW31" s="614"/>
      <c r="CX31" s="781"/>
      <c r="CY31" s="614"/>
      <c r="CZ31" s="781"/>
      <c r="DA31" s="858"/>
      <c r="DB31" s="779"/>
      <c r="DC31" s="596"/>
      <c r="DD31" s="779"/>
      <c r="DE31" s="614"/>
      <c r="DF31" s="781"/>
      <c r="DG31" s="614"/>
      <c r="DH31" s="781"/>
      <c r="DI31" s="589"/>
      <c r="DJ31" s="647"/>
      <c r="DK31" s="850"/>
      <c r="DL31" s="1021"/>
      <c r="DM31" s="471"/>
      <c r="DN31" s="647"/>
      <c r="DO31" s="647"/>
      <c r="DP31" s="684"/>
      <c r="DQ31" s="596"/>
      <c r="DR31" s="821"/>
      <c r="DS31" s="851"/>
      <c r="DT31" s="684"/>
      <c r="DU31" s="851"/>
      <c r="DV31" s="684"/>
      <c r="DW31" s="851"/>
      <c r="DX31" s="471"/>
      <c r="DY31" s="853"/>
      <c r="DZ31" s="659"/>
      <c r="EA31" s="684"/>
      <c r="EB31" s="659"/>
      <c r="EC31" s="684"/>
      <c r="ED31" s="821"/>
      <c r="EE31" s="589"/>
      <c r="EF31" s="850"/>
      <c r="EG31" s="1021"/>
      <c r="EH31" s="471"/>
      <c r="EI31" s="763"/>
      <c r="EJ31" s="684"/>
      <c r="EK31" s="589"/>
      <c r="EL31" s="850"/>
      <c r="EM31" s="684"/>
      <c r="EN31" s="851"/>
      <c r="EO31" s="684"/>
      <c r="EP31" s="659"/>
      <c r="EQ31" s="679"/>
      <c r="ER31" s="471"/>
      <c r="ES31" s="659"/>
      <c r="ET31" s="679"/>
      <c r="EU31" s="659"/>
      <c r="EV31" s="679"/>
      <c r="EW31" s="659"/>
      <c r="EX31" s="679"/>
      <c r="EY31" s="589"/>
      <c r="EZ31" s="850"/>
      <c r="FA31" s="1021"/>
      <c r="FB31" s="471"/>
      <c r="FC31" s="763"/>
      <c r="FD31" s="684"/>
      <c r="FE31" s="589"/>
      <c r="FF31" s="850"/>
      <c r="FG31" s="1021"/>
      <c r="FH31" s="471"/>
      <c r="FI31" s="763"/>
      <c r="FJ31" s="684"/>
      <c r="FK31" s="589"/>
      <c r="FL31" s="850"/>
      <c r="FM31" s="1021"/>
      <c r="FN31" s="471"/>
      <c r="FO31" s="763"/>
      <c r="FP31" s="684"/>
      <c r="FQ31" s="589"/>
      <c r="FR31" s="850"/>
      <c r="FS31" s="1021"/>
      <c r="FT31" s="471"/>
      <c r="FU31" s="763"/>
      <c r="FV31" s="684"/>
      <c r="FW31" s="589"/>
      <c r="FX31" s="469"/>
      <c r="FY31" s="767"/>
      <c r="FZ31" s="471"/>
      <c r="GA31" s="763"/>
      <c r="GB31" s="684"/>
      <c r="GC31" s="668"/>
      <c r="GD31" s="670"/>
      <c r="GE31" s="668"/>
      <c r="GF31" s="670"/>
      <c r="GG31" s="589"/>
      <c r="GH31" s="469"/>
      <c r="GI31" s="749"/>
      <c r="GJ31" s="589"/>
      <c r="GK31" s="469"/>
      <c r="GL31" s="749"/>
      <c r="GM31" s="589"/>
      <c r="GN31" s="469"/>
      <c r="GO31" s="767"/>
      <c r="GP31" s="471"/>
      <c r="GQ31" s="469"/>
      <c r="GR31" s="749"/>
      <c r="GS31" s="589"/>
      <c r="GT31" s="469"/>
      <c r="GU31" s="767"/>
      <c r="GV31" s="471"/>
      <c r="GW31" s="469"/>
      <c r="GX31" s="749"/>
      <c r="GY31" s="668"/>
      <c r="GZ31" s="469"/>
      <c r="HA31" s="767"/>
      <c r="HB31" s="670"/>
      <c r="HC31" s="469"/>
      <c r="HD31" s="749"/>
      <c r="HE31" s="668"/>
      <c r="HF31" s="469"/>
      <c r="HG31" s="767"/>
      <c r="HH31" s="670"/>
      <c r="HI31" s="469"/>
      <c r="HJ31" s="749"/>
      <c r="HK31" s="589"/>
      <c r="HL31" s="850"/>
      <c r="HM31" s="1021"/>
      <c r="HN31" s="471"/>
      <c r="HO31" s="659"/>
      <c r="HP31" s="679"/>
      <c r="HQ31" s="596"/>
      <c r="HR31" s="821"/>
      <c r="HS31" s="767"/>
      <c r="HT31" s="471"/>
      <c r="HU31" s="659"/>
      <c r="HV31" s="679"/>
      <c r="HW31" s="471"/>
      <c r="HX31" s="762"/>
      <c r="HY31" s="679"/>
      <c r="HZ31" s="471"/>
      <c r="IA31" s="647"/>
      <c r="IB31" s="679"/>
      <c r="IC31" s="647"/>
      <c r="ID31" s="679"/>
      <c r="IE31" s="670"/>
      <c r="IF31" s="763"/>
      <c r="IG31" s="679"/>
      <c r="IH31" s="666"/>
      <c r="II31" s="647"/>
      <c r="IJ31" s="769"/>
      <c r="IK31" s="670"/>
      <c r="IL31" s="763"/>
      <c r="IM31" s="679"/>
      <c r="IN31" s="670"/>
      <c r="IO31" s="659"/>
      <c r="IP31" s="679"/>
      <c r="IQ31" s="345"/>
      <c r="IR31" s="762"/>
      <c r="IS31" s="710"/>
      <c r="IT31" s="762"/>
      <c r="IU31" s="710"/>
      <c r="IV31" s="647"/>
      <c r="IW31" s="710"/>
      <c r="IX31" s="762"/>
      <c r="IY31" s="710"/>
      <c r="IZ31" s="762"/>
      <c r="JA31" s="345"/>
      <c r="JB31" s="762"/>
      <c r="JC31" s="710"/>
      <c r="JD31" s="647"/>
      <c r="JE31" s="710"/>
      <c r="JF31" s="659"/>
      <c r="JG31" s="679"/>
      <c r="JH31" s="647"/>
      <c r="JI31" s="710"/>
      <c r="JJ31" s="647"/>
      <c r="JK31" s="1276"/>
      <c r="JL31" s="762"/>
      <c r="JM31" s="710"/>
      <c r="JN31" s="647"/>
      <c r="JO31" s="710"/>
      <c r="JP31" s="739"/>
      <c r="JQ31" s="762"/>
      <c r="JR31" s="710"/>
      <c r="JS31" s="647"/>
      <c r="JT31" s="710"/>
      <c r="JU31" s="760"/>
      <c r="JV31" s="647"/>
      <c r="JW31" s="679"/>
      <c r="JX31" s="647"/>
      <c r="JY31" s="710"/>
      <c r="JZ31" s="760"/>
      <c r="KA31" s="647"/>
      <c r="KB31" s="679"/>
      <c r="KC31" s="647"/>
      <c r="KD31" s="710"/>
      <c r="KE31" s="742"/>
      <c r="KF31" s="762"/>
      <c r="KG31" s="679"/>
      <c r="KH31" s="647"/>
      <c r="KI31" s="710"/>
      <c r="KJ31" s="742"/>
      <c r="KK31" s="762"/>
      <c r="KL31" s="679"/>
      <c r="KM31" s="647"/>
      <c r="KN31" s="710"/>
      <c r="KO31" s="596"/>
      <c r="KP31" s="850"/>
      <c r="KQ31" s="1021"/>
      <c r="KR31" s="850"/>
      <c r="KS31" s="471"/>
      <c r="KT31" s="469"/>
      <c r="KU31" s="684"/>
      <c r="KV31" s="469"/>
      <c r="KW31" s="589"/>
      <c r="KX31" s="821"/>
      <c r="KY31" s="589"/>
      <c r="KZ31" s="821"/>
      <c r="LA31" s="471"/>
      <c r="LB31" s="508"/>
      <c r="LC31" s="689"/>
      <c r="LD31" s="508"/>
      <c r="LE31" s="471"/>
      <c r="LF31" s="763"/>
      <c r="LG31" s="679"/>
      <c r="LH31" s="647"/>
      <c r="LI31" s="471"/>
      <c r="LJ31" s="647"/>
      <c r="LK31" s="769"/>
      <c r="LL31" s="647"/>
      <c r="LM31" s="513"/>
      <c r="LN31" s="647"/>
      <c r="LO31" s="769"/>
      <c r="LP31" s="647"/>
      <c r="LQ31" s="742"/>
      <c r="LR31" s="763"/>
      <c r="LS31" s="679"/>
      <c r="LT31" s="647"/>
      <c r="LU31" s="742"/>
      <c r="LV31" s="763"/>
      <c r="LW31" s="679"/>
      <c r="LX31" s="647"/>
      <c r="LY31" s="1101"/>
      <c r="LZ31" s="647"/>
      <c r="MA31" s="769"/>
      <c r="MB31" s="647"/>
      <c r="MC31" s="742"/>
      <c r="MD31" s="763"/>
      <c r="ME31" s="679"/>
      <c r="MF31" s="647"/>
      <c r="MG31" s="471"/>
      <c r="MH31" s="821"/>
      <c r="MI31" s="749"/>
      <c r="MJ31" s="821"/>
      <c r="MK31" s="749"/>
      <c r="ML31" s="471"/>
      <c r="MM31" s="821"/>
      <c r="MN31" s="749"/>
      <c r="MO31" s="821"/>
      <c r="MP31" s="749"/>
      <c r="MQ31" s="670"/>
      <c r="MR31" s="821"/>
      <c r="MS31" s="749"/>
      <c r="MT31" s="821"/>
      <c r="MU31" s="749"/>
      <c r="MV31" s="670"/>
      <c r="MW31" s="821"/>
      <c r="MX31" s="749"/>
      <c r="MY31" s="821"/>
      <c r="MZ31" s="749"/>
      <c r="NA31" s="670"/>
      <c r="NB31" s="821"/>
      <c r="NC31" s="749"/>
      <c r="ND31" s="821"/>
      <c r="NE31" s="749"/>
      <c r="NF31" s="670"/>
      <c r="NG31" s="821"/>
      <c r="NH31" s="749"/>
      <c r="NI31" s="821"/>
      <c r="NJ31" s="749"/>
      <c r="NK31" s="589"/>
      <c r="NL31" s="469"/>
      <c r="NM31" s="767"/>
      <c r="NN31" s="471"/>
      <c r="NO31" s="763"/>
      <c r="NP31" s="684"/>
      <c r="NQ31" s="589"/>
      <c r="NR31" s="469"/>
      <c r="NS31" s="767"/>
      <c r="NT31" s="469"/>
      <c r="NU31" s="684"/>
      <c r="NV31" s="821"/>
      <c r="NW31" s="749"/>
      <c r="NX31" s="589"/>
      <c r="NY31" s="624"/>
      <c r="NZ31" s="685"/>
      <c r="OA31" s="624"/>
      <c r="OB31" s="685"/>
      <c r="OC31" s="821"/>
      <c r="OD31" s="684"/>
      <c r="OE31" s="589"/>
      <c r="OF31" s="821"/>
      <c r="OG31" s="749"/>
      <c r="OH31" s="1236"/>
      <c r="OI31" s="685"/>
      <c r="OJ31" s="821"/>
      <c r="OK31" s="749"/>
      <c r="OL31" s="589"/>
      <c r="OM31" s="821"/>
      <c r="ON31" s="749"/>
      <c r="OO31" s="624"/>
      <c r="OP31" s="685"/>
      <c r="OQ31" s="821"/>
      <c r="OR31" s="749"/>
      <c r="OS31" s="668"/>
      <c r="OT31" s="821"/>
      <c r="OU31" s="749"/>
      <c r="OV31" s="821"/>
      <c r="OW31" s="749"/>
      <c r="OX31" s="850"/>
      <c r="OY31" s="684"/>
      <c r="OZ31" s="668"/>
      <c r="PA31" s="821"/>
      <c r="PB31" s="749"/>
      <c r="PC31" s="821"/>
      <c r="PD31" s="749"/>
      <c r="PE31" s="850"/>
      <c r="PF31" s="684"/>
      <c r="PG31" s="668"/>
      <c r="PH31" s="821"/>
      <c r="PI31" s="749"/>
      <c r="PJ31" s="659"/>
      <c r="PK31" s="679"/>
      <c r="PL31" s="851"/>
      <c r="PM31" s="684"/>
      <c r="PN31" s="668"/>
      <c r="PO31" s="821"/>
      <c r="PP31" s="749"/>
      <c r="PQ31" s="624"/>
      <c r="PR31" s="685"/>
      <c r="PS31" s="821"/>
      <c r="PT31" s="749"/>
      <c r="PU31" s="471"/>
      <c r="PV31" s="647"/>
      <c r="PW31" s="769"/>
      <c r="PX31" s="471"/>
      <c r="PY31" s="647"/>
      <c r="PZ31" s="679"/>
      <c r="QA31" s="596"/>
      <c r="QB31" s="647"/>
      <c r="QC31" s="769"/>
      <c r="QD31" s="471"/>
      <c r="QE31" s="647"/>
      <c r="QF31" s="679"/>
      <c r="QG31" s="670"/>
      <c r="QH31" s="647"/>
      <c r="QI31" s="769"/>
      <c r="QJ31" s="670"/>
      <c r="QK31" s="647"/>
      <c r="QL31" s="769"/>
      <c r="QM31" s="670"/>
      <c r="QN31" s="647"/>
      <c r="QO31" s="769"/>
      <c r="QP31" s="670"/>
      <c r="QQ31" s="647"/>
      <c r="QR31" s="710"/>
      <c r="QS31" s="471"/>
      <c r="QT31" s="471"/>
      <c r="QU31" s="589"/>
      <c r="QV31" s="345"/>
      <c r="QW31" s="743"/>
      <c r="QX31" s="742"/>
      <c r="QY31" s="743"/>
      <c r="QZ31" s="742"/>
      <c r="RA31" s="468"/>
      <c r="RB31" s="515"/>
      <c r="RC31" s="469"/>
      <c r="RD31" s="468"/>
      <c r="RE31" s="600"/>
      <c r="RF31" s="469"/>
      <c r="RG31" s="471"/>
      <c r="RH31" s="513"/>
      <c r="RI31" s="589"/>
      <c r="RJ31" s="345"/>
      <c r="RK31" s="589"/>
      <c r="RL31" s="345"/>
      <c r="RM31" s="596"/>
      <c r="RN31" s="345"/>
      <c r="RO31" s="596"/>
      <c r="RP31" s="345"/>
      <c r="RQ31" s="513"/>
      <c r="RR31" s="345"/>
      <c r="RS31" s="513"/>
      <c r="RT31" s="345"/>
      <c r="RU31" s="513"/>
      <c r="RV31" s="345"/>
      <c r="RW31" s="589"/>
      <c r="RX31" s="647"/>
      <c r="RY31" s="769"/>
      <c r="RZ31" s="589"/>
      <c r="SA31" s="647"/>
      <c r="SB31" s="769"/>
      <c r="SC31" s="345"/>
      <c r="SD31" s="345"/>
      <c r="SE31" s="589"/>
      <c r="SF31" s="469"/>
      <c r="SG31" s="1565"/>
      <c r="SH31" s="471"/>
      <c r="SI31" s="647"/>
      <c r="SJ31" s="710"/>
      <c r="SK31" s="549"/>
      <c r="SL31" s="548"/>
      <c r="SM31" s="589"/>
      <c r="SN31" s="469"/>
      <c r="SO31" s="767"/>
      <c r="SP31" s="471"/>
      <c r="SQ31" s="469"/>
      <c r="SR31" s="767"/>
      <c r="SS31" s="471"/>
      <c r="ST31" s="767"/>
      <c r="SU31" s="684"/>
      <c r="SV31" s="471"/>
      <c r="SW31" s="684"/>
      <c r="SX31" s="684"/>
      <c r="SY31" s="548"/>
      <c r="SZ31" s="684"/>
      <c r="TA31" s="548"/>
      <c r="TB31" s="684"/>
      <c r="TC31" s="548"/>
      <c r="TD31" s="684"/>
      <c r="TE31" s="548"/>
      <c r="TF31" s="684"/>
      <c r="TG31" s="557"/>
      <c r="TH31" s="557"/>
      <c r="TI31" s="560"/>
      <c r="TJ31" s="557"/>
      <c r="TK31" s="1300"/>
      <c r="TL31" s="1301"/>
      <c r="TM31" s="1302"/>
      <c r="TN31" s="1300"/>
      <c r="TO31" s="1301"/>
      <c r="TP31" s="1302"/>
      <c r="TQ31" s="1300"/>
      <c r="TR31" s="1301"/>
      <c r="TS31" s="1302"/>
      <c r="TT31" s="548"/>
      <c r="TU31" s="1301"/>
      <c r="TV31" s="1302"/>
      <c r="TW31" s="1303"/>
      <c r="TX31" s="1303"/>
      <c r="TY31" s="1303"/>
      <c r="TZ31" s="1303"/>
      <c r="UA31" s="471"/>
      <c r="UB31" s="821"/>
      <c r="UC31" s="684"/>
      <c r="UD31" s="471"/>
      <c r="UE31" s="821"/>
      <c r="UF31" s="684"/>
      <c r="UG31" s="471"/>
      <c r="UH31" s="821"/>
      <c r="UI31" s="684"/>
      <c r="UJ31" s="684"/>
      <c r="UK31" s="471"/>
      <c r="UL31" s="821"/>
      <c r="UM31" s="684"/>
      <c r="UN31" s="684"/>
      <c r="UO31" s="559"/>
      <c r="UP31" s="561"/>
      <c r="UQ31" s="684"/>
      <c r="UR31" s="561"/>
      <c r="US31" s="561"/>
      <c r="UT31" s="561"/>
      <c r="UU31" s="561"/>
      <c r="UV31" s="559"/>
      <c r="UW31" s="821"/>
      <c r="UX31" s="684"/>
      <c r="UY31" s="821"/>
      <c r="UZ31" s="1106"/>
      <c r="VA31" s="561"/>
      <c r="VB31" s="1106"/>
      <c r="VC31" s="559"/>
      <c r="VD31" s="561"/>
      <c r="VE31" s="561"/>
      <c r="VF31" s="559"/>
      <c r="VG31" s="561"/>
      <c r="VH31" s="561"/>
      <c r="VI31" s="893"/>
      <c r="VJ31" s="561"/>
      <c r="VK31" s="561"/>
      <c r="VL31" s="893"/>
      <c r="VM31" s="561"/>
      <c r="VN31" s="561"/>
      <c r="VO31" s="893"/>
      <c r="VP31" s="554"/>
      <c r="VQ31" s="554"/>
      <c r="VR31" s="893"/>
      <c r="VS31" s="561"/>
      <c r="VT31" s="1106"/>
      <c r="VU31" s="563"/>
      <c r="VV31" s="559"/>
      <c r="VW31" s="558"/>
      <c r="VX31" s="558"/>
      <c r="VY31" s="558"/>
      <c r="VZ31" s="558"/>
      <c r="WA31" s="564"/>
      <c r="WB31" s="564"/>
      <c r="WC31" s="564"/>
      <c r="WD31" s="564"/>
      <c r="WE31" s="558"/>
      <c r="WF31" s="558"/>
      <c r="WG31" s="558"/>
      <c r="WH31" s="558"/>
      <c r="WI31" s="564"/>
      <c r="WJ31" s="564"/>
      <c r="WK31" s="564"/>
      <c r="WL31" s="564"/>
      <c r="WM31" s="252">
        <f>'Проверочная  таблица'!WE31+'Проверочная  таблица'!WG31</f>
        <v>0</v>
      </c>
      <c r="WN31" s="252">
        <f>'Проверочная  таблица'!WF31+'Проверочная  таблица'!WH31</f>
        <v>0</v>
      </c>
    </row>
    <row r="32" spans="1:613" s="338" customFormat="1" ht="25.5" customHeight="1" x14ac:dyDescent="0.25">
      <c r="A32" s="352" t="s">
        <v>5</v>
      </c>
      <c r="B32" s="526">
        <f>D32+AI32+'Проверочная  таблица'!RA32+'Проверочная  таблица'!SK32</f>
        <v>1892044052.3600001</v>
      </c>
      <c r="C32" s="521">
        <f>E32+'Проверочная  таблица'!RD32+AJ32+'Проверочная  таблица'!SL32</f>
        <v>1293499202.4100001</v>
      </c>
      <c r="D32" s="526">
        <f>F32+P32+N32+V32+AA32+H32</f>
        <v>353075140</v>
      </c>
      <c r="E32" s="521">
        <f>G32+Q32+O32+W32+AB32+I32</f>
        <v>205766298.71000001</v>
      </c>
      <c r="F32" s="581">
        <f>'[1]Дотация  из  ОБ_факт'!M28</f>
        <v>18619400</v>
      </c>
      <c r="G32" s="883">
        <v>16967100</v>
      </c>
      <c r="H32" s="581"/>
      <c r="I32" s="745"/>
      <c r="J32" s="583"/>
      <c r="K32" s="583"/>
      <c r="L32" s="582"/>
      <c r="M32" s="746"/>
      <c r="N32" s="581">
        <f>'[1]Дотация  из  ОБ_факт'!Q28</f>
        <v>333355740</v>
      </c>
      <c r="O32" s="961">
        <v>188799198.71000001</v>
      </c>
      <c r="P32" s="581"/>
      <c r="Q32" s="745"/>
      <c r="R32" s="583"/>
      <c r="S32" s="583"/>
      <c r="T32" s="582"/>
      <c r="U32" s="619"/>
      <c r="V32" s="581">
        <f>'[1]Дотация  из  ОБ_факт'!AA28+'[1]Дотация  из  ОБ_факт'!AC28+'[1]Дотация  из  ОБ_факт'!AG28</f>
        <v>1100000</v>
      </c>
      <c r="W32" s="170">
        <f>SUM(X32:Z32)</f>
        <v>0</v>
      </c>
      <c r="X32" s="797"/>
      <c r="Y32" s="584"/>
      <c r="Z32" s="585"/>
      <c r="AA32" s="581"/>
      <c r="AB32" s="461"/>
      <c r="AC32" s="584"/>
      <c r="AD32" s="586"/>
      <c r="AE32" s="583"/>
      <c r="AF32" s="583"/>
      <c r="AG32" s="582"/>
      <c r="AH32" s="737"/>
      <c r="AI32" s="579">
        <f>'Проверочная  таблица'!KW32+'Проверочная  таблица'!QS32+'Проверочная  таблица'!QU32+CS32+CU32+DA32+DC32+BU32+CE32+'Проверочная  таблица'!IQ32+'Проверочная  таблица'!JK32+'Проверочная  таблица'!EE32+'Проверочная  таблица'!KO32+DQ32+'Проверочная  таблица'!HQ32+'Проверочная  таблица'!HW32+'Проверочная  таблица'!LA32+'Проверочная  таблица'!LI32+HK32+FQ32+FE32+NK32+EY32+AK32+AW32+FK32+GM32+GS32+DI32+NQ32+FW32+EK32+OE32+MG32+GG32+PU32+QA32</f>
        <v>502198511.82000005</v>
      </c>
      <c r="AJ32" s="498">
        <f>'Проверочная  таблица'!KY32+'Проверочная  таблица'!QT32+'Проверочная  таблица'!QV32+CT32+CV32+DB32+DD32+BZ32+CJ32+'Проверочная  таблица'!JA32+'Проверочная  таблица'!JP32+'Проверочная  таблица'!EH32+'Проверочная  таблица'!KS32+DX32+'Проверочная  таблица'!HT32+'Проверочная  таблица'!HZ32+'Проверочная  таблица'!LE32+'Проверочная  таблица'!LM32+HN32+FN32+FT32+FH32+NN32+FB32+AQ32+BA32+GP32+GV32+DM32+NX32+FZ32+ER32+OL32+ML32+GJ32+PX32+QD32</f>
        <v>315671141.85000002</v>
      </c>
      <c r="AK32" s="521">
        <f t="shared" ref="AK32:AK33" si="339">SUM(AL32:AP32)</f>
        <v>0</v>
      </c>
      <c r="AL32" s="525">
        <f>[1]Субсидия_факт!CD30</f>
        <v>0</v>
      </c>
      <c r="AM32" s="508">
        <f>[1]Субсидия_факт!EX30</f>
        <v>0</v>
      </c>
      <c r="AN32" s="506">
        <f>[1]Субсидия_факт!FJ30</f>
        <v>0</v>
      </c>
      <c r="AO32" s="508">
        <f>[1]Субсидия_факт!LT30</f>
        <v>0</v>
      </c>
      <c r="AP32" s="622">
        <f>[1]Субсидия_факт!LZ30</f>
        <v>0</v>
      </c>
      <c r="AQ32" s="521">
        <f t="shared" ref="AQ32:AQ33" si="340">SUM(AR32:AV32)</f>
        <v>0</v>
      </c>
      <c r="AR32" s="342"/>
      <c r="AS32" s="342"/>
      <c r="AT32" s="342"/>
      <c r="AU32" s="474"/>
      <c r="AV32" s="531"/>
      <c r="AW32" s="521"/>
      <c r="AX32" s="464"/>
      <c r="AY32" s="341"/>
      <c r="AZ32" s="506"/>
      <c r="BA32" s="521"/>
      <c r="BB32" s="531"/>
      <c r="BC32" s="531"/>
      <c r="BD32" s="532"/>
      <c r="BE32" s="587"/>
      <c r="BF32" s="652"/>
      <c r="BG32" s="464"/>
      <c r="BH32" s="341"/>
      <c r="BI32" s="587"/>
      <c r="BJ32" s="622"/>
      <c r="BK32" s="506"/>
      <c r="BL32" s="341"/>
      <c r="BM32" s="587"/>
      <c r="BN32" s="446"/>
      <c r="BO32" s="341"/>
      <c r="BP32" s="446"/>
      <c r="BQ32" s="587"/>
      <c r="BR32" s="532"/>
      <c r="BS32" s="531"/>
      <c r="BT32" s="532"/>
      <c r="BU32" s="521">
        <f t="shared" ref="BU32:BU33" si="341">SUM(BV32:BY32)</f>
        <v>169369234.99000001</v>
      </c>
      <c r="BV32" s="525">
        <f>[1]Субсидия_факт!HB30</f>
        <v>33436844.989999998</v>
      </c>
      <c r="BW32" s="508">
        <f>[1]Субсидия_факт!HH30</f>
        <v>0</v>
      </c>
      <c r="BX32" s="531">
        <f>[1]Субсидия_факт!HP30</f>
        <v>36132390</v>
      </c>
      <c r="BY32" s="508">
        <f>[1]Субсидия_факт!HV30</f>
        <v>99800000</v>
      </c>
      <c r="BZ32" s="521">
        <f t="shared" ref="BZ32:BZ33" si="342">SUM(CA32:CD32)</f>
        <v>49740122.43</v>
      </c>
      <c r="CA32" s="773">
        <v>33436844.989999998</v>
      </c>
      <c r="CB32" s="531"/>
      <c r="CC32" s="531">
        <v>16303277.439999999</v>
      </c>
      <c r="CD32" s="531"/>
      <c r="CE32" s="521">
        <f t="shared" ref="CE32:CE33" si="343">SUM(CF32:CI32)</f>
        <v>0</v>
      </c>
      <c r="CF32" s="341"/>
      <c r="CG32" s="341"/>
      <c r="CH32" s="531"/>
      <c r="CI32" s="525"/>
      <c r="CJ32" s="521">
        <f t="shared" ref="CJ32:CJ33" si="344">SUM(CK32:CN32)</f>
        <v>0</v>
      </c>
      <c r="CK32" s="531"/>
      <c r="CL32" s="532"/>
      <c r="CM32" s="531"/>
      <c r="CN32" s="773"/>
      <c r="CO32" s="528"/>
      <c r="CP32" s="528"/>
      <c r="CQ32" s="528"/>
      <c r="CR32" s="530"/>
      <c r="CS32" s="521">
        <f>[1]Субсидия_факт!FL30</f>
        <v>25132589.16</v>
      </c>
      <c r="CT32" s="1073">
        <v>22544981.84</v>
      </c>
      <c r="CU32" s="524"/>
      <c r="CV32" s="339"/>
      <c r="CW32" s="527"/>
      <c r="CX32" s="528"/>
      <c r="CY32" s="587"/>
      <c r="CZ32" s="340"/>
      <c r="DA32" s="521">
        <f>[1]Субсидия_факт!FR30</f>
        <v>4471041.51</v>
      </c>
      <c r="DB32" s="339">
        <v>4088635.28</v>
      </c>
      <c r="DC32" s="520"/>
      <c r="DD32" s="339"/>
      <c r="DE32" s="527"/>
      <c r="DF32" s="528"/>
      <c r="DG32" s="758"/>
      <c r="DH32" s="340"/>
      <c r="DI32" s="521">
        <f t="shared" ref="DI32:DI33" si="345">SUM(DJ32:DL32)</f>
        <v>0</v>
      </c>
      <c r="DJ32" s="531">
        <f>[1]Субсидия_факт!EV30</f>
        <v>0</v>
      </c>
      <c r="DK32" s="525">
        <f>[1]Субсидия_факт!EL30</f>
        <v>0</v>
      </c>
      <c r="DL32" s="689">
        <f>[1]Субсидия_факт!EN30</f>
        <v>0</v>
      </c>
      <c r="DM32" s="521">
        <f t="shared" ref="DM32:DM33" si="346">SUM(DN32:DP32)</f>
        <v>0</v>
      </c>
      <c r="DN32" s="531"/>
      <c r="DO32" s="531"/>
      <c r="DP32" s="686"/>
      <c r="DQ32" s="524">
        <f>SUM(DR32:DW32)</f>
        <v>0</v>
      </c>
      <c r="DR32" s="508">
        <f>[1]Субсидия_факт!N30</f>
        <v>0</v>
      </c>
      <c r="DS32" s="652">
        <f>[1]Субсидия_факт!P30</f>
        <v>0</v>
      </c>
      <c r="DT32" s="682">
        <f>[1]Субсидия_факт!R30</f>
        <v>0</v>
      </c>
      <c r="DU32" s="506">
        <f>[1]Субсидия_факт!T30</f>
        <v>0</v>
      </c>
      <c r="DV32" s="689">
        <f>[1]Субсидия_факт!V30</f>
        <v>0</v>
      </c>
      <c r="DW32" s="506">
        <f>[1]Субсидия_факт!X30</f>
        <v>0</v>
      </c>
      <c r="DX32" s="521">
        <f>SUM(DY32:ED32)</f>
        <v>0</v>
      </c>
      <c r="DY32" s="727"/>
      <c r="DZ32" s="773"/>
      <c r="EA32" s="686"/>
      <c r="EB32" s="773"/>
      <c r="EC32" s="686"/>
      <c r="ED32" s="531"/>
      <c r="EE32" s="526">
        <f>SUM(EF32:EG32)</f>
        <v>0</v>
      </c>
      <c r="EF32" s="525">
        <f>[1]Субсидия_факт!BL30</f>
        <v>0</v>
      </c>
      <c r="EG32" s="689">
        <f>[1]Субсидия_факт!BN30</f>
        <v>0</v>
      </c>
      <c r="EH32" s="521">
        <f>SUM(EI32:EJ32)</f>
        <v>0</v>
      </c>
      <c r="EI32" s="532"/>
      <c r="EJ32" s="686"/>
      <c r="EK32" s="526">
        <f>SUM(EL32:EQ32)</f>
        <v>0</v>
      </c>
      <c r="EL32" s="525">
        <f>[1]Субсидия_факт!AF30</f>
        <v>0</v>
      </c>
      <c r="EM32" s="689">
        <f>[1]Субсидия_факт!AH30</f>
        <v>0</v>
      </c>
      <c r="EN32" s="506">
        <f>[1]Субсидия_факт!AJ30</f>
        <v>0</v>
      </c>
      <c r="EO32" s="689">
        <f>[1]Субсидия_факт!AL30</f>
        <v>0</v>
      </c>
      <c r="EP32" s="622">
        <f>[1]Субсидия_факт!AN30</f>
        <v>0</v>
      </c>
      <c r="EQ32" s="712">
        <f>[1]Субсидия_факт!AP30</f>
        <v>0</v>
      </c>
      <c r="ER32" s="521">
        <f>SUM(ES32:EX32)</f>
        <v>0</v>
      </c>
      <c r="ES32" s="474"/>
      <c r="ET32" s="686"/>
      <c r="EU32" s="474"/>
      <c r="EV32" s="686"/>
      <c r="EW32" s="474"/>
      <c r="EX32" s="686"/>
      <c r="EY32" s="526">
        <f>SUM(EZ32:FA32)</f>
        <v>0</v>
      </c>
      <c r="EZ32" s="525">
        <f>[1]Субсидия_факт!AV30</f>
        <v>0</v>
      </c>
      <c r="FA32" s="689">
        <f>[1]Субсидия_факт!AX30</f>
        <v>0</v>
      </c>
      <c r="FB32" s="521">
        <f>SUM(FC32:FD32)</f>
        <v>0</v>
      </c>
      <c r="FC32" s="532"/>
      <c r="FD32" s="686"/>
      <c r="FE32" s="526">
        <f>SUM(FF32:FG32)</f>
        <v>0</v>
      </c>
      <c r="FF32" s="525">
        <f>[1]Субсидия_факт!BT30</f>
        <v>0</v>
      </c>
      <c r="FG32" s="689">
        <f>[1]Субсидия_факт!BV30</f>
        <v>0</v>
      </c>
      <c r="FH32" s="521">
        <f>SUM(FI32:FJ32)</f>
        <v>0</v>
      </c>
      <c r="FI32" s="532"/>
      <c r="FJ32" s="686"/>
      <c r="FK32" s="526">
        <f>SUM(FL32:FM32)</f>
        <v>0</v>
      </c>
      <c r="FL32" s="525">
        <f>[1]Субсидия_факт!BP30</f>
        <v>0</v>
      </c>
      <c r="FM32" s="689">
        <f>[1]Субсидия_факт!BR30</f>
        <v>0</v>
      </c>
      <c r="FN32" s="521">
        <f>SUM(FO32:FP32)</f>
        <v>0</v>
      </c>
      <c r="FO32" s="532"/>
      <c r="FP32" s="686"/>
      <c r="FQ32" s="526">
        <f>SUM(FR32:FS32)</f>
        <v>0</v>
      </c>
      <c r="FR32" s="525">
        <f>[1]Субсидия_факт!IV30</f>
        <v>0</v>
      </c>
      <c r="FS32" s="689">
        <f>[1]Субсидия_факт!IX30</f>
        <v>0</v>
      </c>
      <c r="FT32" s="521">
        <f>SUM(FU32:FV32)</f>
        <v>0</v>
      </c>
      <c r="FU32" s="532"/>
      <c r="FV32" s="686"/>
      <c r="FW32" s="526">
        <f>SUM(FX32:FY32)</f>
        <v>0</v>
      </c>
      <c r="FX32" s="525"/>
      <c r="FY32" s="689"/>
      <c r="FZ32" s="521">
        <f>SUM(GA32:GB32)</f>
        <v>0</v>
      </c>
      <c r="GA32" s="532"/>
      <c r="GB32" s="686"/>
      <c r="GC32" s="644"/>
      <c r="GD32" s="587"/>
      <c r="GE32" s="644"/>
      <c r="GF32" s="587"/>
      <c r="GG32" s="521">
        <f t="shared" ref="GG32:GG33" si="347">SUM(GH32:GI32)</f>
        <v>0</v>
      </c>
      <c r="GH32" s="1079">
        <f>[1]Субсидия_факт!BH30</f>
        <v>0</v>
      </c>
      <c r="GI32" s="682">
        <f>[1]Субсидия_факт!BJ30</f>
        <v>0</v>
      </c>
      <c r="GJ32" s="521">
        <f t="shared" ref="GJ32:GJ33" si="348">SUM(GK32:GL32)</f>
        <v>0</v>
      </c>
      <c r="GK32" s="773"/>
      <c r="GL32" s="686"/>
      <c r="GM32" s="526">
        <f>SUM(GN32:GO32)</f>
        <v>0</v>
      </c>
      <c r="GN32" s="525">
        <f>[1]Субсидия_факт!FZ30</f>
        <v>0</v>
      </c>
      <c r="GO32" s="689">
        <f>[1]Субсидия_факт!GD30</f>
        <v>0</v>
      </c>
      <c r="GP32" s="521">
        <f>SUM(GQ32:GR32)</f>
        <v>0</v>
      </c>
      <c r="GQ32" s="773"/>
      <c r="GR32" s="686"/>
      <c r="GS32" s="526">
        <f>SUM(GT32:GU32)</f>
        <v>0</v>
      </c>
      <c r="GT32" s="525"/>
      <c r="GU32" s="689"/>
      <c r="GV32" s="521">
        <f>SUM(GW32:GX32)</f>
        <v>0</v>
      </c>
      <c r="GW32" s="773"/>
      <c r="GX32" s="686"/>
      <c r="GY32" s="644">
        <f>SUM(GZ32:HA32)</f>
        <v>0</v>
      </c>
      <c r="GZ32" s="525"/>
      <c r="HA32" s="689"/>
      <c r="HB32" s="587">
        <f>SUM(HC32:HD32)</f>
        <v>0</v>
      </c>
      <c r="HC32" s="773"/>
      <c r="HD32" s="686"/>
      <c r="HE32" s="644">
        <f>SUM(HF32:HG32)</f>
        <v>0</v>
      </c>
      <c r="HF32" s="525"/>
      <c r="HG32" s="689"/>
      <c r="HH32" s="587">
        <f>SUM(HI32:HJ32)</f>
        <v>0</v>
      </c>
      <c r="HI32" s="773"/>
      <c r="HJ32" s="686"/>
      <c r="HK32" s="526">
        <f t="shared" ref="HK32:HK33" si="349">SUM(HL32:HM32)</f>
        <v>3740139</v>
      </c>
      <c r="HL32" s="508">
        <f>[1]Субсидия_факт!DD30</f>
        <v>1047239</v>
      </c>
      <c r="HM32" s="689">
        <f>[1]Субсидия_факт!DF30</f>
        <v>2692900</v>
      </c>
      <c r="HN32" s="521">
        <f t="shared" ref="HN32:HN33" si="350">SUM(HO32:HP32)</f>
        <v>3740139</v>
      </c>
      <c r="HO32" s="531">
        <v>1047239</v>
      </c>
      <c r="HP32" s="686">
        <v>2692900</v>
      </c>
      <c r="HQ32" s="526">
        <f>SUM(HR32:HS32)</f>
        <v>0</v>
      </c>
      <c r="HR32" s="508">
        <f>[1]Субсидия_факт!CR30</f>
        <v>0</v>
      </c>
      <c r="HS32" s="1230">
        <f>[1]Субсидия_факт!CX30</f>
        <v>0</v>
      </c>
      <c r="HT32" s="521">
        <f>SUM(HU32:HV32)</f>
        <v>0</v>
      </c>
      <c r="HU32" s="773"/>
      <c r="HV32" s="686"/>
      <c r="HW32" s="521"/>
      <c r="HX32" s="525"/>
      <c r="HY32" s="689"/>
      <c r="HZ32" s="521"/>
      <c r="IA32" s="531"/>
      <c r="IB32" s="706"/>
      <c r="IC32" s="531"/>
      <c r="ID32" s="706"/>
      <c r="IE32" s="587"/>
      <c r="IF32" s="652"/>
      <c r="IG32" s="682"/>
      <c r="IH32" s="758"/>
      <c r="II32" s="622"/>
      <c r="IJ32" s="765"/>
      <c r="IK32" s="587"/>
      <c r="IL32" s="525"/>
      <c r="IM32" s="866"/>
      <c r="IN32" s="587"/>
      <c r="IO32" s="773"/>
      <c r="IP32" s="686"/>
      <c r="IQ32" s="521">
        <f t="shared" ref="IQ32:IQ33" si="351">SUM(IR32:IZ32)</f>
        <v>0</v>
      </c>
      <c r="IR32" s="622">
        <f>[1]Субсидия_факт!CJ30</f>
        <v>0</v>
      </c>
      <c r="IS32" s="682">
        <f>[1]Субсидия_факт!CN30</f>
        <v>0</v>
      </c>
      <c r="IT32" s="622">
        <f>[1]Субсидия_факт!DH30</f>
        <v>0</v>
      </c>
      <c r="IU32" s="682">
        <f>[1]Субсидия_факт!DN30</f>
        <v>0</v>
      </c>
      <c r="IV32" s="525">
        <f>[1]Субсидия_факт!DX30</f>
        <v>0</v>
      </c>
      <c r="IW32" s="689">
        <f>[1]Субсидия_факт!DZ30</f>
        <v>0</v>
      </c>
      <c r="IX32" s="1304">
        <f>[1]Субсидия_факт!DT30</f>
        <v>0</v>
      </c>
      <c r="IY32" s="682">
        <f>[1]Субсидия_факт!DV30</f>
        <v>0</v>
      </c>
      <c r="IZ32" s="508">
        <f>[1]Субсидия_факт!EB30</f>
        <v>0</v>
      </c>
      <c r="JA32" s="521">
        <f t="shared" ref="JA32:JA33" si="352">SUM(JB32:JJ32)</f>
        <v>0</v>
      </c>
      <c r="JB32" s="531"/>
      <c r="JC32" s="686"/>
      <c r="JD32" s="531"/>
      <c r="JE32" s="686"/>
      <c r="JF32" s="531"/>
      <c r="JG32" s="686"/>
      <c r="JH32" s="531"/>
      <c r="JI32" s="686"/>
      <c r="JJ32" s="531"/>
      <c r="JK32" s="520"/>
      <c r="JL32" s="622">
        <f>[1]Субсидия_факт!CL30</f>
        <v>0</v>
      </c>
      <c r="JM32" s="682">
        <f>[1]Субсидия_факт!CP30</f>
        <v>0</v>
      </c>
      <c r="JN32" s="531"/>
      <c r="JO32" s="686"/>
      <c r="JP32" s="521"/>
      <c r="JQ32" s="531"/>
      <c r="JR32" s="686"/>
      <c r="JS32" s="531"/>
      <c r="JT32" s="686"/>
      <c r="JU32" s="644"/>
      <c r="JV32" s="531"/>
      <c r="JW32" s="686"/>
      <c r="JX32" s="531"/>
      <c r="JY32" s="686"/>
      <c r="JZ32" s="644"/>
      <c r="KA32" s="531"/>
      <c r="KB32" s="686"/>
      <c r="KC32" s="531"/>
      <c r="KD32" s="686"/>
      <c r="KE32" s="587"/>
      <c r="KF32" s="531"/>
      <c r="KG32" s="686"/>
      <c r="KH32" s="531"/>
      <c r="KI32" s="686"/>
      <c r="KJ32" s="587"/>
      <c r="KK32" s="531"/>
      <c r="KL32" s="686"/>
      <c r="KM32" s="531"/>
      <c r="KN32" s="686"/>
      <c r="KO32" s="520">
        <f t="shared" ref="KO32:KO33" si="353">SUM(KP32:KR32)</f>
        <v>0</v>
      </c>
      <c r="KP32" s="525">
        <f>[1]Субсидия_факт!BX30</f>
        <v>0</v>
      </c>
      <c r="KQ32" s="866">
        <f>[1]Субсидия_факт!BZ30</f>
        <v>0</v>
      </c>
      <c r="KR32" s="508">
        <f>[1]Субсидия_факт!CB30</f>
        <v>0</v>
      </c>
      <c r="KS32" s="521">
        <f t="shared" ref="KS32:KS33" si="354">SUM(KT32:KV32)</f>
        <v>0</v>
      </c>
      <c r="KT32" s="531"/>
      <c r="KU32" s="686"/>
      <c r="KV32" s="531"/>
      <c r="KW32" s="526">
        <f>SUM(KX32:KX32)</f>
        <v>0</v>
      </c>
      <c r="KX32" s="508">
        <f>[1]Субсидия_факт!GN30</f>
        <v>0</v>
      </c>
      <c r="KY32" s="521">
        <f>SUM(KZ32:KZ32)</f>
        <v>0</v>
      </c>
      <c r="KZ32" s="531"/>
      <c r="LA32" s="658">
        <f t="shared" ref="LA32:LA33" si="355">SUM(LB32:LD32)</f>
        <v>77175092.99000001</v>
      </c>
      <c r="LB32" s="516">
        <f>[1]Субсидия_факт!JT30</f>
        <v>2481099.9900000002</v>
      </c>
      <c r="LC32" s="838">
        <f>[1]Субсидия_факт!JZ30</f>
        <v>47140900</v>
      </c>
      <c r="LD32" s="508">
        <f>[1]Субсидия_факт!KF30</f>
        <v>27553093</v>
      </c>
      <c r="LE32" s="658">
        <f t="shared" ref="LE32:LE33" si="356">SUM(LF32:LH32)</f>
        <v>55239431.960000001</v>
      </c>
      <c r="LF32" s="532">
        <v>1662731.83</v>
      </c>
      <c r="LG32" s="686">
        <v>31591904.629999999</v>
      </c>
      <c r="LH32" s="531">
        <v>21984795.5</v>
      </c>
      <c r="LI32" s="658"/>
      <c r="LJ32" s="525"/>
      <c r="LK32" s="866"/>
      <c r="LL32" s="508"/>
      <c r="LM32" s="725"/>
      <c r="LN32" s="531"/>
      <c r="LO32" s="770"/>
      <c r="LP32" s="531"/>
      <c r="LQ32" s="662"/>
      <c r="LR32" s="652"/>
      <c r="LS32" s="682"/>
      <c r="LT32" s="622"/>
      <c r="LU32" s="662"/>
      <c r="LV32" s="652"/>
      <c r="LW32" s="682"/>
      <c r="LX32" s="622"/>
      <c r="LY32" s="1102"/>
      <c r="LZ32" s="525"/>
      <c r="MA32" s="866"/>
      <c r="MB32" s="508"/>
      <c r="MC32" s="662"/>
      <c r="MD32" s="532"/>
      <c r="ME32" s="686"/>
      <c r="MF32" s="508"/>
      <c r="MG32" s="521">
        <f t="shared" ref="MG32:MG33" si="357">SUM(MH32:MI32)</f>
        <v>0</v>
      </c>
      <c r="MH32" s="487"/>
      <c r="MI32" s="712"/>
      <c r="MJ32" s="487"/>
      <c r="MK32" s="712"/>
      <c r="ML32" s="521">
        <f t="shared" ref="ML32:ML33" si="358">SUM(MM32:MN32)</f>
        <v>0</v>
      </c>
      <c r="MM32" s="487"/>
      <c r="MN32" s="712"/>
      <c r="MO32" s="487"/>
      <c r="MP32" s="712"/>
      <c r="MQ32" s="587">
        <f t="shared" ref="MQ32:MQ33" si="359">SUM(MR32:MU32)</f>
        <v>0</v>
      </c>
      <c r="MR32" s="487"/>
      <c r="MS32" s="712"/>
      <c r="MT32" s="487"/>
      <c r="MU32" s="712"/>
      <c r="MV32" s="587">
        <f t="shared" ref="MV32:MV33" si="360">SUM(MW32:MZ32)</f>
        <v>0</v>
      </c>
      <c r="MW32" s="487"/>
      <c r="MX32" s="712"/>
      <c r="MY32" s="487"/>
      <c r="MZ32" s="712"/>
      <c r="NA32" s="587">
        <f t="shared" ref="NA32:NA33" si="361">SUM(NB32:NE32)</f>
        <v>0</v>
      </c>
      <c r="NB32" s="487"/>
      <c r="NC32" s="712"/>
      <c r="ND32" s="487"/>
      <c r="NE32" s="712"/>
      <c r="NF32" s="587">
        <f t="shared" ref="NF32:NF33" si="362">SUM(NG32:NJ32)</f>
        <v>0</v>
      </c>
      <c r="NG32" s="487"/>
      <c r="NH32" s="712"/>
      <c r="NI32" s="487"/>
      <c r="NJ32" s="712"/>
      <c r="NK32" s="526">
        <f>SUM(NL32:NM32)</f>
        <v>0</v>
      </c>
      <c r="NL32" s="525">
        <f>[1]Субсидия_факт!AB30</f>
        <v>0</v>
      </c>
      <c r="NM32" s="689">
        <f>[1]Субсидия_факт!AD30</f>
        <v>0</v>
      </c>
      <c r="NN32" s="521">
        <f>SUM(NO32:NP32)</f>
        <v>0</v>
      </c>
      <c r="NO32" s="532"/>
      <c r="NP32" s="686"/>
      <c r="NQ32" s="521">
        <f t="shared" ref="NQ32:NQ33" si="363">SUM(NR32:NW32)</f>
        <v>0</v>
      </c>
      <c r="NR32" s="525">
        <f>[1]Субсидия_факт!LH30</f>
        <v>0</v>
      </c>
      <c r="NS32" s="866">
        <f>[1]Субсидия_факт!LJ30</f>
        <v>0</v>
      </c>
      <c r="NT32" s="508">
        <f>[1]Субсидия_факт!LJ30</f>
        <v>0</v>
      </c>
      <c r="NU32" s="689">
        <f>[1]Субсидия_факт!MN30</f>
        <v>0</v>
      </c>
      <c r="NV32" s="487"/>
      <c r="NW32" s="712"/>
      <c r="NX32" s="521">
        <f t="shared" ref="NX32:NX33" si="364">SUM(NY32:OD32)</f>
        <v>0</v>
      </c>
      <c r="NY32" s="474"/>
      <c r="NZ32" s="686"/>
      <c r="OA32" s="474"/>
      <c r="OB32" s="686"/>
      <c r="OC32" s="487"/>
      <c r="OD32" s="682"/>
      <c r="OE32" s="521">
        <f t="shared" ref="OE32:OE33" si="365">SUM(OF32:OK32)</f>
        <v>0</v>
      </c>
      <c r="OF32" s="487"/>
      <c r="OG32" s="712"/>
      <c r="OH32" s="1147"/>
      <c r="OI32" s="682"/>
      <c r="OJ32" s="487"/>
      <c r="OK32" s="712"/>
      <c r="OL32" s="521">
        <f t="shared" ref="OL32:OL33" si="366">SUM(OM32:OR32)</f>
        <v>0</v>
      </c>
      <c r="OM32" s="487"/>
      <c r="ON32" s="712"/>
      <c r="OO32" s="474"/>
      <c r="OP32" s="686"/>
      <c r="OQ32" s="487"/>
      <c r="OR32" s="712"/>
      <c r="OS32" s="587">
        <f t="shared" ref="OS32:OS33" si="367">SUM(OT32:OY32)</f>
        <v>0</v>
      </c>
      <c r="OT32" s="487"/>
      <c r="OU32" s="712"/>
      <c r="OV32" s="487"/>
      <c r="OW32" s="712"/>
      <c r="OX32" s="1066"/>
      <c r="OY32" s="682"/>
      <c r="OZ32" s="587">
        <f t="shared" ref="OZ32:OZ33" si="368">SUM(PA32:PF32)</f>
        <v>0</v>
      </c>
      <c r="PA32" s="487"/>
      <c r="PB32" s="712"/>
      <c r="PC32" s="487"/>
      <c r="PD32" s="712"/>
      <c r="PE32" s="1066"/>
      <c r="PF32" s="682"/>
      <c r="PG32" s="587">
        <f t="shared" ref="PG32:PG33" si="369">SUM(PH32:PM32)</f>
        <v>0</v>
      </c>
      <c r="PH32" s="487"/>
      <c r="PI32" s="712"/>
      <c r="PJ32" s="1079"/>
      <c r="PK32" s="682"/>
      <c r="PL32" s="1147"/>
      <c r="PM32" s="682"/>
      <c r="PN32" s="587">
        <f t="shared" ref="PN32:PN33" si="370">SUM(PO32:PT32)</f>
        <v>0</v>
      </c>
      <c r="PO32" s="487"/>
      <c r="PP32" s="712"/>
      <c r="PQ32" s="474"/>
      <c r="PR32" s="686"/>
      <c r="PS32" s="487"/>
      <c r="PT32" s="712"/>
      <c r="PU32" s="529"/>
      <c r="PV32" s="525"/>
      <c r="PW32" s="866"/>
      <c r="PX32" s="529"/>
      <c r="PY32" s="525"/>
      <c r="PZ32" s="689"/>
      <c r="QA32" s="1579"/>
      <c r="QB32" s="525"/>
      <c r="QC32" s="866"/>
      <c r="QD32" s="529"/>
      <c r="QE32" s="525"/>
      <c r="QF32" s="689"/>
      <c r="QG32" s="868"/>
      <c r="QH32" s="525"/>
      <c r="QI32" s="866"/>
      <c r="QJ32" s="868"/>
      <c r="QK32" s="525"/>
      <c r="QL32" s="866"/>
      <c r="QM32" s="868"/>
      <c r="QN32" s="525"/>
      <c r="QO32" s="866"/>
      <c r="QP32" s="868"/>
      <c r="QQ32" s="525"/>
      <c r="QR32" s="689"/>
      <c r="QS32" s="521">
        <f>'Прочая  субсидия_МР  и  ГО'!B28</f>
        <v>222310414.17000002</v>
      </c>
      <c r="QT32" s="521">
        <f>'Прочая  субсидия_МР  и  ГО'!C28</f>
        <v>180317831.34</v>
      </c>
      <c r="QU32" s="529"/>
      <c r="QV32" s="529"/>
      <c r="QW32" s="601"/>
      <c r="QX32" s="602"/>
      <c r="QY32" s="601"/>
      <c r="QZ32" s="602"/>
      <c r="RA32" s="526">
        <f t="shared" ref="RA32:RA33" si="371">SUM(RB32:RC32)</f>
        <v>927640242.67000008</v>
      </c>
      <c r="RB32" s="525">
        <f>'Проверочная  таблица'!SF32+'Проверочная  таблица'!RG32+'Проверочная  таблица'!RI32+'Проверочная  таблица'!RK32+RX32</f>
        <v>894363926.96000004</v>
      </c>
      <c r="RC32" s="508">
        <f>'Проверочная  таблица'!SG32+'Проверочная  таблица'!RM32+'Проверочная  таблица'!RS32+'Проверочная  таблица'!RO32+'Проверочная  таблица'!RQ32+RU32+RY32+SC32</f>
        <v>33276315.709999997</v>
      </c>
      <c r="RD32" s="521">
        <f t="shared" ref="RD32:RD33" si="372">SUM(RE32:RF32)</f>
        <v>677011459.71999991</v>
      </c>
      <c r="RE32" s="506">
        <f>'Проверочная  таблица'!SI32+'Проверочная  таблица'!RH32+'Проверочная  таблица'!RJ32+'Проверочная  таблица'!RL32+SA32</f>
        <v>660703625.18999994</v>
      </c>
      <c r="RF32" s="508">
        <f>'Проверочная  таблица'!SJ32+'Проверочная  таблица'!RN32+'Проверочная  таблица'!RT32+'Проверочная  таблица'!RP32+'Проверочная  таблица'!RR32+RV32+SB32+SD32</f>
        <v>16307834.530000001</v>
      </c>
      <c r="RG32" s="526">
        <f>'Субвенция  на  полномочия'!B26</f>
        <v>839809724.70000005</v>
      </c>
      <c r="RH32" s="521">
        <f>'Субвенция  на  полномочия'!C26</f>
        <v>625199265.78999996</v>
      </c>
      <c r="RI32" s="280">
        <f>[1]Субвенция_факт!Q29*1000</f>
        <v>29395631</v>
      </c>
      <c r="RJ32" s="735">
        <v>20300000</v>
      </c>
      <c r="RK32" s="280">
        <f>[1]Субвенция_факт!J29*1000</f>
        <v>12149455</v>
      </c>
      <c r="RL32" s="735">
        <v>8199640</v>
      </c>
      <c r="RM32" s="280">
        <f>[1]Субвенция_факт!AE29*1000</f>
        <v>0</v>
      </c>
      <c r="RN32" s="735"/>
      <c r="RO32" s="280">
        <f>[1]Субвенция_факт!AF29*1000</f>
        <v>16000</v>
      </c>
      <c r="RP32" s="735">
        <v>16000</v>
      </c>
      <c r="RQ32" s="280">
        <f>[1]Субвенция_факт!E29*1000</f>
        <v>0</v>
      </c>
      <c r="RR32" s="735"/>
      <c r="RS32" s="280">
        <f>[1]Субвенция_факт!F29*1000</f>
        <v>746227</v>
      </c>
      <c r="RT32" s="793">
        <v>703926</v>
      </c>
      <c r="RU32" s="170">
        <f>[1]Субвенция_факт!G29*1000</f>
        <v>1499077</v>
      </c>
      <c r="RV32" s="1211">
        <f>703924+703928</f>
        <v>1407852</v>
      </c>
      <c r="RW32" s="521">
        <f>SUM(RX32:RY32)</f>
        <v>37974183.07</v>
      </c>
      <c r="RX32" s="622">
        <f>[1]Субвенция_факт!N29*1000</f>
        <v>10632771.26</v>
      </c>
      <c r="RY32" s="682">
        <f>[1]Субвенция_факт!O29*1000</f>
        <v>27341411.809999999</v>
      </c>
      <c r="RZ32" s="521">
        <f>SUM(SA32:SB32)</f>
        <v>17995426.359999999</v>
      </c>
      <c r="SA32" s="531">
        <v>5038719.4000000004</v>
      </c>
      <c r="SB32" s="770">
        <v>12956706.960000001</v>
      </c>
      <c r="SC32" s="170">
        <f>[1]Субвенция_факт!AG29*1000</f>
        <v>1583599.9</v>
      </c>
      <c r="SD32" s="1278"/>
      <c r="SE32" s="526">
        <f t="shared" ref="SE32:SE33" si="373">SF32+SG32</f>
        <v>4466345</v>
      </c>
      <c r="SF32" s="833">
        <f>[1]Субвенция_факт!AD29*1000</f>
        <v>2376345.0000000005</v>
      </c>
      <c r="SG32" s="1562">
        <f>[1]Субвенция_факт!AC29*1000</f>
        <v>2090000</v>
      </c>
      <c r="SH32" s="521">
        <f t="shared" ref="SH32:SH33" si="374">SUM(SI32:SJ32)</f>
        <v>3189349.5700000003</v>
      </c>
      <c r="SI32" s="1558">
        <v>1966000</v>
      </c>
      <c r="SJ32" s="1636">
        <v>1223349.57</v>
      </c>
      <c r="SK32" s="280">
        <f>'Проверочная  таблица'!VC32+'Проверочная  таблица'!UO32+'Проверочная  таблица'!SY32+'Проверочная  таблица'!TC32+UA32+UG32+TK32+TQ32+SM32+SS32</f>
        <v>109130157.87</v>
      </c>
      <c r="SL32" s="170">
        <f>'Проверочная  таблица'!VF32+'Проверочная  таблица'!UV32+'Проверочная  таблица'!TA32+'Проверочная  таблица'!TE32+UD32+UK32+TN32+TT32+SP32+SV32</f>
        <v>95050302.13000001</v>
      </c>
      <c r="SM32" s="526">
        <f>SN32+SO32</f>
        <v>31638600</v>
      </c>
      <c r="SN32" s="833">
        <f>'[1]Иные межбюджетные трансферты'!I30</f>
        <v>0</v>
      </c>
      <c r="SO32" s="880">
        <f>'[1]Иные межбюджетные трансферты'!K30</f>
        <v>31638600</v>
      </c>
      <c r="SP32" s="521">
        <f>SUM(SQ32:SR32)</f>
        <v>21717144.260000002</v>
      </c>
      <c r="SQ32" s="1421"/>
      <c r="SR32" s="1422">
        <v>21717144.260000002</v>
      </c>
      <c r="SS32" s="521">
        <f t="shared" ref="SS32:SS33" si="375">SUM(ST32:SU32)</f>
        <v>0</v>
      </c>
      <c r="ST32" s="880">
        <f>'[1]Иные межбюджетные трансферты'!Y30</f>
        <v>0</v>
      </c>
      <c r="SU32" s="1009">
        <f>'[1]Иные межбюджетные трансферты'!AE30</f>
        <v>0</v>
      </c>
      <c r="SV32" s="521">
        <f t="shared" ref="SV32:SV33" si="376">SUM(SW32:SX32)</f>
        <v>0</v>
      </c>
      <c r="SW32" s="1422"/>
      <c r="SX32" s="1422"/>
      <c r="SY32" s="899">
        <f>SUM(SZ32:SZ32)</f>
        <v>70000000</v>
      </c>
      <c r="SZ32" s="1009">
        <f>'[1]Иные межбюджетные трансферты'!AG30</f>
        <v>70000000</v>
      </c>
      <c r="TA32" s="899">
        <f>SUM(TB32:TB32)</f>
        <v>70000000</v>
      </c>
      <c r="TB32" s="1009">
        <f>SZ32</f>
        <v>70000000</v>
      </c>
      <c r="TC32" s="899">
        <f>SUM(TD32:TD32)</f>
        <v>0</v>
      </c>
      <c r="TD32" s="1009"/>
      <c r="TE32" s="899">
        <f>SUM(TF32:TF32)</f>
        <v>0</v>
      </c>
      <c r="TF32" s="880"/>
      <c r="TG32" s="897"/>
      <c r="TH32" s="897"/>
      <c r="TI32" s="897"/>
      <c r="TJ32" s="897"/>
      <c r="TK32" s="899">
        <f t="shared" ref="TK32:TK33" si="377">SUM(TL32:TM32)</f>
        <v>0</v>
      </c>
      <c r="TL32" s="1304">
        <f>'[1]Иные межбюджетные трансферты'!AQ30</f>
        <v>0</v>
      </c>
      <c r="TM32" s="682">
        <f>'[1]Иные межбюджетные трансферты'!AU30</f>
        <v>0</v>
      </c>
      <c r="TN32" s="899">
        <f t="shared" ref="TN32:TN33" si="378">SUM(TO32:TP32)</f>
        <v>0</v>
      </c>
      <c r="TO32" s="1304"/>
      <c r="TP32" s="686"/>
      <c r="TQ32" s="899">
        <f t="shared" ref="TQ32:TQ33" si="379">SUM(TR32:TS32)</f>
        <v>0</v>
      </c>
      <c r="TR32" s="1304"/>
      <c r="TS32" s="682"/>
      <c r="TT32" s="899">
        <f t="shared" ref="TT32:TT33" si="380">SUM(TU32:TV32)</f>
        <v>0</v>
      </c>
      <c r="TU32" s="1304"/>
      <c r="TV32" s="682"/>
      <c r="TW32" s="1199"/>
      <c r="TX32" s="1199"/>
      <c r="TY32" s="1199"/>
      <c r="TZ32" s="1199"/>
      <c r="UA32" s="170">
        <f>SUM(UB32:UC32)</f>
        <v>0</v>
      </c>
      <c r="UB32" s="830">
        <f>'[1]Иные межбюджетные трансферты'!U30</f>
        <v>0</v>
      </c>
      <c r="UC32" s="880">
        <f>'[1]Иные межбюджетные трансферты'!W30</f>
        <v>0</v>
      </c>
      <c r="UD32" s="170">
        <f>SUM(UE32:UF32)</f>
        <v>0</v>
      </c>
      <c r="UE32" s="830"/>
      <c r="UF32" s="880"/>
      <c r="UG32" s="170">
        <f t="shared" ref="UG32:UG33" si="381">SUM(UH32:UJ32)</f>
        <v>0</v>
      </c>
      <c r="UH32" s="830">
        <f>'[1]Иные межбюджетные трансферты'!O30</f>
        <v>0</v>
      </c>
      <c r="UI32" s="880">
        <f>'[1]Иные межбюджетные трансферты'!Q30</f>
        <v>0</v>
      </c>
      <c r="UJ32" s="880">
        <f>'[1]Иные межбюджетные трансферты'!S30</f>
        <v>0</v>
      </c>
      <c r="UK32" s="170">
        <f t="shared" ref="UK32:UK33" si="382">SUM(UL32:UN32)</f>
        <v>0</v>
      </c>
      <c r="UL32" s="830"/>
      <c r="UM32" s="880"/>
      <c r="UN32" s="880"/>
      <c r="UO32" s="834">
        <f t="shared" ref="UO32:UO33" si="383">SUM(UP32:UU32)</f>
        <v>7491557.8699999992</v>
      </c>
      <c r="UP32" s="833">
        <f>'[1]Иные межбюджетные трансферты'!E30</f>
        <v>0</v>
      </c>
      <c r="UQ32" s="880">
        <f>'[1]Иные межбюджетные трансферты'!G30</f>
        <v>0</v>
      </c>
      <c r="UR32" s="830">
        <f>'[1]Иные межбюджетные трансферты'!M30</f>
        <v>4158399.9999999995</v>
      </c>
      <c r="US32" s="830">
        <f>'[1]Иные межбюджетные трансферты'!AM30</f>
        <v>0</v>
      </c>
      <c r="UT32" s="1498">
        <f>'[1]Иные межбюджетные трансферты'!AY30</f>
        <v>0</v>
      </c>
      <c r="UU32" s="1539">
        <f>'[1]Иные межбюджетные трансферты'!BA30</f>
        <v>3333157.87</v>
      </c>
      <c r="UV32" s="834">
        <f t="shared" ref="UV32:UV33" si="384">SUM(UW32:VB32)</f>
        <v>3333157.87</v>
      </c>
      <c r="UW32" s="908"/>
      <c r="UX32" s="906"/>
      <c r="UY32" s="908">
        <v>0</v>
      </c>
      <c r="UZ32" s="516"/>
      <c r="VA32" s="518">
        <f>UT32</f>
        <v>0</v>
      </c>
      <c r="VB32" s="516">
        <f t="shared" ref="VB32:VB33" si="385">UU32</f>
        <v>3333157.87</v>
      </c>
      <c r="VC32" s="899">
        <f t="shared" ref="VC32:VC33" si="386">SUM(VD32:VE32)</f>
        <v>0</v>
      </c>
      <c r="VD32" s="830"/>
      <c r="VE32" s="830"/>
      <c r="VF32" s="899">
        <f t="shared" ref="VF32:VF33" si="387">SUM(VG32:VH32)</f>
        <v>0</v>
      </c>
      <c r="VG32" s="518"/>
      <c r="VH32" s="518"/>
      <c r="VI32" s="1199">
        <f t="shared" ref="VI32:VI33" si="388">SUM(VJ32:VK32)</f>
        <v>0</v>
      </c>
      <c r="VJ32" s="516">
        <f>'Проверочная  таблица'!VD32-VP32</f>
        <v>0</v>
      </c>
      <c r="VK32" s="516">
        <f>'Проверочная  таблица'!VE32-VQ32</f>
        <v>0</v>
      </c>
      <c r="VL32" s="1199">
        <f t="shared" ref="VL32:VL33" si="389">SUM(VM32:VN32)</f>
        <v>0</v>
      </c>
      <c r="VM32" s="516">
        <f>'Проверочная  таблица'!VG32-VS32</f>
        <v>0</v>
      </c>
      <c r="VN32" s="516">
        <f>'Проверочная  таблица'!VH32-VT32</f>
        <v>0</v>
      </c>
      <c r="VO32" s="1199">
        <f t="shared" ref="VO32:VO33" si="390">SUM(VP32:VQ32)</f>
        <v>0</v>
      </c>
      <c r="VP32" s="830"/>
      <c r="VQ32" s="830">
        <f>'[1]Иные межбюджетные трансферты'!BE30</f>
        <v>0</v>
      </c>
      <c r="VR32" s="1199">
        <f t="shared" ref="VR32:VR33" si="391">SUM(VS32:VT32)</f>
        <v>0</v>
      </c>
      <c r="VS32" s="518"/>
      <c r="VT32" s="518"/>
      <c r="VU32" s="521">
        <f>VW32+'Проверочная  таблица'!WE32+WA32+'Проверочная  таблица'!WI32+WC32+'Проверочная  таблица'!WK32</f>
        <v>49500000</v>
      </c>
      <c r="VV32" s="521">
        <f>VX32+'Проверочная  таблица'!WF32+WB32+'Проверочная  таблица'!WJ32+WD32+'Проверочная  таблица'!WL32</f>
        <v>54000000</v>
      </c>
      <c r="VW32" s="529">
        <v>54000000</v>
      </c>
      <c r="VX32" s="529">
        <v>54000000</v>
      </c>
      <c r="VY32" s="529"/>
      <c r="VZ32" s="529"/>
      <c r="WA32" s="523"/>
      <c r="WB32" s="523"/>
      <c r="WC32" s="523"/>
      <c r="WD32" s="523"/>
      <c r="WE32" s="529">
        <v>-4500000</v>
      </c>
      <c r="WF32" s="529"/>
      <c r="WG32" s="529"/>
      <c r="WH32" s="529"/>
      <c r="WI32" s="523"/>
      <c r="WJ32" s="523"/>
      <c r="WK32" s="523"/>
      <c r="WL32" s="523"/>
      <c r="WM32" s="252">
        <f>'Проверочная  таблица'!WE32+'Проверочная  таблица'!WG32</f>
        <v>-4500000</v>
      </c>
      <c r="WN32" s="252">
        <f>'Проверочная  таблица'!WF32+'Проверочная  таблица'!WH32</f>
        <v>0</v>
      </c>
    </row>
    <row r="33" spans="1:612" s="338" customFormat="1" ht="25.5" customHeight="1" thickBot="1" x14ac:dyDescent="0.3">
      <c r="A33" s="351" t="s">
        <v>6</v>
      </c>
      <c r="B33" s="526">
        <f>D33+AI33+'Проверочная  таблица'!RA33+'Проверочная  таблица'!SK33</f>
        <v>9373061037.8899975</v>
      </c>
      <c r="C33" s="521">
        <f>E33+'Проверочная  таблица'!RD33+AJ33+'Проверочная  таблица'!SL33</f>
        <v>6485638652.7999992</v>
      </c>
      <c r="D33" s="526">
        <f>F33+P33+N33+V33+AA33+H33</f>
        <v>1151228578</v>
      </c>
      <c r="E33" s="521">
        <f>G33+Q33+O33+W33+AB33+I33</f>
        <v>647287000</v>
      </c>
      <c r="F33" s="581">
        <f>'[1]Дотация  из  ОБ_факт'!M29</f>
        <v>180751166.00000003</v>
      </c>
      <c r="G33" s="883">
        <v>166467000</v>
      </c>
      <c r="H33" s="581"/>
      <c r="I33" s="745"/>
      <c r="J33" s="583"/>
      <c r="K33" s="583"/>
      <c r="L33" s="582"/>
      <c r="M33" s="746"/>
      <c r="N33" s="581">
        <f>'[1]Дотация  из  ОБ_факт'!Q29</f>
        <v>969977411.99999988</v>
      </c>
      <c r="O33" s="961">
        <v>480320000</v>
      </c>
      <c r="P33" s="581"/>
      <c r="Q33" s="745"/>
      <c r="R33" s="583"/>
      <c r="S33" s="583">
        <f>Q33-U33</f>
        <v>0</v>
      </c>
      <c r="T33" s="582"/>
      <c r="U33" s="619"/>
      <c r="V33" s="581">
        <f>'[1]Дотация  из  ОБ_факт'!AA29+'[1]Дотация  из  ОБ_факт'!AC29+'[1]Дотация  из  ОБ_факт'!AG29</f>
        <v>500000</v>
      </c>
      <c r="W33" s="170">
        <f>SUM(X33:Z33)</f>
        <v>500000</v>
      </c>
      <c r="X33" s="797"/>
      <c r="Y33" s="584">
        <v>500000</v>
      </c>
      <c r="Z33" s="585"/>
      <c r="AA33" s="581"/>
      <c r="AB33" s="461"/>
      <c r="AC33" s="584"/>
      <c r="AD33" s="586"/>
      <c r="AE33" s="583"/>
      <c r="AF33" s="583"/>
      <c r="AG33" s="582"/>
      <c r="AH33" s="737"/>
      <c r="AI33" s="579">
        <f>'Проверочная  таблица'!KW33+'Проверочная  таблица'!QS33+'Проверочная  таблица'!QU33+CS33+CU33+DA33+DC33+BU33+CE33+'Проверочная  таблица'!IQ33+'Проверочная  таблица'!JK33+'Проверочная  таблица'!EE33+'Проверочная  таблица'!KO33+DQ33+'Проверочная  таблица'!HQ33+'Проверочная  таблица'!HW33+'Проверочная  таблица'!LA33+'Проверочная  таблица'!LI33+HK33+FQ33+FE33+NK33+EY33+AK33+AW33+FK33+GM33+GS33+DI33+NQ33+FW33+EK33+OE33+MG33+GG33+PU33+QA33</f>
        <v>2196806472.5999999</v>
      </c>
      <c r="AJ33" s="498">
        <f>'Проверочная  таблица'!KY33+'Проверочная  таблица'!QT33+'Проверочная  таблица'!QV33+CT33+CV33+DB33+DD33+BZ33+CJ33+'Проверочная  таблица'!JA33+'Проверочная  таблица'!JP33+'Проверочная  таблица'!EH33+'Проверочная  таблица'!KS33+DX33+'Проверочная  таблица'!HT33+'Проверочная  таблица'!HZ33+'Проверочная  таблица'!LE33+'Проверочная  таблица'!LM33+HN33+FN33+FT33+FH33+NN33+FB33+AQ33+BA33+GP33+GV33+DM33+NX33+FZ33+ER33+OL33+ML33+GJ33+PX33+QD33</f>
        <v>1297200401.2999997</v>
      </c>
      <c r="AK33" s="466">
        <f t="shared" si="339"/>
        <v>0</v>
      </c>
      <c r="AL33" s="967">
        <f>[1]Субсидия_факт!CD31</f>
        <v>0</v>
      </c>
      <c r="AM33" s="509">
        <f>[1]Субсидия_факт!EX31</f>
        <v>0</v>
      </c>
      <c r="AN33" s="507">
        <f>[1]Субсидия_факт!FJ31</f>
        <v>0</v>
      </c>
      <c r="AO33" s="509">
        <f>[1]Субсидия_факт!LT31</f>
        <v>0</v>
      </c>
      <c r="AP33" s="622">
        <f>[1]Субсидия_факт!LZ31</f>
        <v>0</v>
      </c>
      <c r="AQ33" s="748">
        <f t="shared" si="340"/>
        <v>0</v>
      </c>
      <c r="AR33" s="342"/>
      <c r="AS33" s="342"/>
      <c r="AT33" s="342"/>
      <c r="AU33" s="474"/>
      <c r="AV33" s="625"/>
      <c r="AW33" s="498"/>
      <c r="AX33" s="874"/>
      <c r="AY33" s="969"/>
      <c r="AZ33" s="562"/>
      <c r="BA33" s="466"/>
      <c r="BB33" s="625"/>
      <c r="BC33" s="625"/>
      <c r="BD33" s="772"/>
      <c r="BE33" s="669"/>
      <c r="BF33" s="750"/>
      <c r="BG33" s="874"/>
      <c r="BH33" s="869"/>
      <c r="BI33" s="667"/>
      <c r="BJ33" s="757"/>
      <c r="BK33" s="562"/>
      <c r="BL33" s="869"/>
      <c r="BM33" s="669"/>
      <c r="BN33" s="871"/>
      <c r="BO33" s="869"/>
      <c r="BP33" s="871"/>
      <c r="BQ33" s="669"/>
      <c r="BR33" s="772"/>
      <c r="BS33" s="625"/>
      <c r="BT33" s="772"/>
      <c r="BU33" s="521">
        <f t="shared" si="341"/>
        <v>829910948.66000009</v>
      </c>
      <c r="BV33" s="562">
        <f>[1]Субсидия_факт!HB31</f>
        <v>103246241.21000001</v>
      </c>
      <c r="BW33" s="518">
        <f>[1]Субсидия_факт!HH31</f>
        <v>22000000</v>
      </c>
      <c r="BX33" s="531">
        <f>[1]Субсидия_факт!HP31</f>
        <v>133867610</v>
      </c>
      <c r="BY33" s="516">
        <f>[1]Субсидия_факт!HV31</f>
        <v>570797097.45000005</v>
      </c>
      <c r="BZ33" s="521">
        <f t="shared" si="342"/>
        <v>404697918.68000001</v>
      </c>
      <c r="CA33" s="724">
        <v>33173704.289999999</v>
      </c>
      <c r="CB33" s="625">
        <v>9171955.4700000007</v>
      </c>
      <c r="CC33" s="625">
        <v>111895868.8</v>
      </c>
      <c r="CD33" s="625">
        <v>250456390.12</v>
      </c>
      <c r="CE33" s="521">
        <f t="shared" si="343"/>
        <v>0</v>
      </c>
      <c r="CF33" s="869"/>
      <c r="CG33" s="869"/>
      <c r="CH33" s="625"/>
      <c r="CI33" s="516"/>
      <c r="CJ33" s="521">
        <f t="shared" si="344"/>
        <v>0</v>
      </c>
      <c r="CK33" s="625"/>
      <c r="CL33" s="772"/>
      <c r="CM33" s="625"/>
      <c r="CN33" s="724"/>
      <c r="CO33" s="517"/>
      <c r="CP33" s="517"/>
      <c r="CQ33" s="517"/>
      <c r="CR33" s="1075"/>
      <c r="CS33" s="521">
        <f>[1]Субсидия_факт!FL31</f>
        <v>561161220.58999991</v>
      </c>
      <c r="CT33" s="1078">
        <v>450226185.76999998</v>
      </c>
      <c r="CU33" s="579"/>
      <c r="CV33" s="782"/>
      <c r="CW33" s="732"/>
      <c r="CX33" s="517"/>
      <c r="CY33" s="669"/>
      <c r="CZ33" s="337"/>
      <c r="DA33" s="615">
        <f>[1]Субсидия_факт!FR31</f>
        <v>68270234.75</v>
      </c>
      <c r="DB33" s="339">
        <v>55064438.5</v>
      </c>
      <c r="DC33" s="520"/>
      <c r="DD33" s="782"/>
      <c r="DE33" s="732"/>
      <c r="DF33" s="517"/>
      <c r="DG33" s="663"/>
      <c r="DH33" s="337"/>
      <c r="DI33" s="498">
        <f t="shared" si="345"/>
        <v>0</v>
      </c>
      <c r="DJ33" s="625">
        <f>[1]Субсидия_факт!EV31</f>
        <v>0</v>
      </c>
      <c r="DK33" s="516">
        <f>[1]Субсидия_факт!EL31</f>
        <v>0</v>
      </c>
      <c r="DL33" s="838">
        <f>[1]Субсидия_факт!EN31</f>
        <v>0</v>
      </c>
      <c r="DM33" s="466">
        <f t="shared" si="346"/>
        <v>0</v>
      </c>
      <c r="DN33" s="625"/>
      <c r="DO33" s="625"/>
      <c r="DP33" s="678"/>
      <c r="DQ33" s="579">
        <f>SUM(DR33:DW33)</f>
        <v>4488800</v>
      </c>
      <c r="DR33" s="509">
        <f>[1]Субсидия_факт!N31</f>
        <v>2208800</v>
      </c>
      <c r="DS33" s="653">
        <f>[1]Субсидия_факт!P31</f>
        <v>0</v>
      </c>
      <c r="DT33" s="683">
        <f>[1]Субсидия_факт!R31</f>
        <v>0</v>
      </c>
      <c r="DU33" s="507">
        <f>[1]Субсидия_факт!T31</f>
        <v>0</v>
      </c>
      <c r="DV33" s="690">
        <f>[1]Субсидия_факт!V31</f>
        <v>0</v>
      </c>
      <c r="DW33" s="507">
        <f>[1]Субсидия_факт!X31</f>
        <v>2280000</v>
      </c>
      <c r="DX33" s="466">
        <f>SUM(DY33:ED33)</f>
        <v>4152862.76</v>
      </c>
      <c r="DY33" s="753">
        <v>1872862.76</v>
      </c>
      <c r="DZ33" s="724"/>
      <c r="EA33" s="678"/>
      <c r="EB33" s="724"/>
      <c r="EC33" s="678"/>
      <c r="ED33" s="625">
        <v>2280000</v>
      </c>
      <c r="EE33" s="498">
        <f>SUM(EF33:EG33)</f>
        <v>0</v>
      </c>
      <c r="EF33" s="516">
        <f>[1]Субсидия_факт!BL31</f>
        <v>0</v>
      </c>
      <c r="EG33" s="838">
        <f>[1]Субсидия_факт!BN31</f>
        <v>0</v>
      </c>
      <c r="EH33" s="466">
        <f>SUM(EI33:EJ33)</f>
        <v>0</v>
      </c>
      <c r="EI33" s="772"/>
      <c r="EJ33" s="678"/>
      <c r="EK33" s="526">
        <f>SUM(EL33:EQ33)</f>
        <v>0</v>
      </c>
      <c r="EL33" s="967">
        <f>[1]Субсидия_факт!AF31</f>
        <v>0</v>
      </c>
      <c r="EM33" s="690">
        <f>[1]Субсидия_факт!AH31</f>
        <v>0</v>
      </c>
      <c r="EN33" s="507">
        <f>[1]Субсидия_факт!AJ31</f>
        <v>0</v>
      </c>
      <c r="EO33" s="690">
        <f>[1]Субсидия_факт!AL31</f>
        <v>0</v>
      </c>
      <c r="EP33" s="622">
        <f>[1]Субсидия_факт!AN31</f>
        <v>0</v>
      </c>
      <c r="EQ33" s="712">
        <f>[1]Субсидия_факт!AP31</f>
        <v>0</v>
      </c>
      <c r="ER33" s="521">
        <f>SUM(ES33:EX33)</f>
        <v>0</v>
      </c>
      <c r="ES33" s="515"/>
      <c r="ET33" s="678"/>
      <c r="EU33" s="515"/>
      <c r="EV33" s="678"/>
      <c r="EW33" s="515"/>
      <c r="EX33" s="678"/>
      <c r="EY33" s="498">
        <f>SUM(EZ33:FA33)</f>
        <v>25526315.789999999</v>
      </c>
      <c r="EZ33" s="516">
        <f>[1]Субсидия_факт!AV31</f>
        <v>526315.79</v>
      </c>
      <c r="FA33" s="752">
        <f>[1]Субсидия_факт!AX31</f>
        <v>25000000</v>
      </c>
      <c r="FB33" s="466">
        <f>SUM(FC33:FD33)</f>
        <v>25526315.789999999</v>
      </c>
      <c r="FC33" s="772">
        <v>526315.79</v>
      </c>
      <c r="FD33" s="678">
        <v>25000000</v>
      </c>
      <c r="FE33" s="498">
        <f>SUM(FF33:FG33)</f>
        <v>0</v>
      </c>
      <c r="FF33" s="516">
        <f>[1]Субсидия_факт!BT31</f>
        <v>0</v>
      </c>
      <c r="FG33" s="838">
        <f>[1]Субсидия_факт!BV31</f>
        <v>0</v>
      </c>
      <c r="FH33" s="466">
        <f>SUM(FI33:FJ33)</f>
        <v>0</v>
      </c>
      <c r="FI33" s="772"/>
      <c r="FJ33" s="678"/>
      <c r="FK33" s="498">
        <f>SUM(FL33:FM33)</f>
        <v>113922091.69</v>
      </c>
      <c r="FL33" s="516">
        <f>[1]Субсидия_факт!BP31</f>
        <v>5696106.1599999946</v>
      </c>
      <c r="FM33" s="838">
        <f>[1]Субсидия_факт!BR31</f>
        <v>108225985.53</v>
      </c>
      <c r="FN33" s="466">
        <f>SUM(FO33:FP33)</f>
        <v>64026319.340000004</v>
      </c>
      <c r="FO33" s="772">
        <v>3201316.85</v>
      </c>
      <c r="FP33" s="678">
        <v>60825002.490000002</v>
      </c>
      <c r="FQ33" s="498">
        <f>SUM(FR33:FS33)</f>
        <v>51387500</v>
      </c>
      <c r="FR33" s="516">
        <f>[1]Субсидия_факт!IV31</f>
        <v>14388500</v>
      </c>
      <c r="FS33" s="838">
        <f>[1]Субсидия_факт!IX31</f>
        <v>36999000</v>
      </c>
      <c r="FT33" s="466">
        <f>SUM(FU33:FV33)</f>
        <v>48296830.339999996</v>
      </c>
      <c r="FU33" s="772">
        <v>13523367.289999999</v>
      </c>
      <c r="FV33" s="678">
        <v>34773463.049999997</v>
      </c>
      <c r="FW33" s="498">
        <f>SUM(FX33:FY33)</f>
        <v>0</v>
      </c>
      <c r="FX33" s="516"/>
      <c r="FY33" s="838"/>
      <c r="FZ33" s="466">
        <f>SUM(GA33:GB33)</f>
        <v>0</v>
      </c>
      <c r="GA33" s="772"/>
      <c r="GB33" s="678"/>
      <c r="GC33" s="667"/>
      <c r="GD33" s="669"/>
      <c r="GE33" s="667"/>
      <c r="GF33" s="669"/>
      <c r="GG33" s="498">
        <f t="shared" si="347"/>
        <v>0</v>
      </c>
      <c r="GH33" s="1251">
        <f>[1]Субсидия_факт!BH31</f>
        <v>0</v>
      </c>
      <c r="GI33" s="676">
        <f>[1]Субсидия_факт!BJ31</f>
        <v>0</v>
      </c>
      <c r="GJ33" s="498">
        <f t="shared" si="348"/>
        <v>0</v>
      </c>
      <c r="GK33" s="724"/>
      <c r="GL33" s="678"/>
      <c r="GM33" s="526">
        <f>SUM(GN33:GO33)</f>
        <v>0</v>
      </c>
      <c r="GN33" s="525">
        <f>[1]Субсидия_факт!FZ31</f>
        <v>0</v>
      </c>
      <c r="GO33" s="689">
        <f>[1]Субсидия_факт!GD31</f>
        <v>0</v>
      </c>
      <c r="GP33" s="466">
        <f>SUM(GQ33:GR33)</f>
        <v>0</v>
      </c>
      <c r="GQ33" s="724"/>
      <c r="GR33" s="678"/>
      <c r="GS33" s="526">
        <f>SUM(GT33:GU33)</f>
        <v>0</v>
      </c>
      <c r="GT33" s="525"/>
      <c r="GU33" s="689"/>
      <c r="GV33" s="466">
        <f>SUM(GW33:GX33)</f>
        <v>0</v>
      </c>
      <c r="GW33" s="724"/>
      <c r="GX33" s="678"/>
      <c r="GY33" s="644">
        <f>SUM(GZ33:HA33)</f>
        <v>0</v>
      </c>
      <c r="GZ33" s="525"/>
      <c r="HA33" s="689"/>
      <c r="HB33" s="669">
        <f>SUM(HC33:HD33)</f>
        <v>0</v>
      </c>
      <c r="HC33" s="724"/>
      <c r="HD33" s="678"/>
      <c r="HE33" s="644">
        <f>SUM(HF33:HG33)</f>
        <v>0</v>
      </c>
      <c r="HF33" s="525"/>
      <c r="HG33" s="689"/>
      <c r="HH33" s="669">
        <f>SUM(HI33:HJ33)</f>
        <v>0</v>
      </c>
      <c r="HI33" s="724"/>
      <c r="HJ33" s="678"/>
      <c r="HK33" s="498">
        <f t="shared" si="349"/>
        <v>0</v>
      </c>
      <c r="HL33" s="518">
        <f>[1]Субсидия_факт!DD31</f>
        <v>0</v>
      </c>
      <c r="HM33" s="752">
        <f>[1]Субсидия_факт!DF31</f>
        <v>0</v>
      </c>
      <c r="HN33" s="466">
        <f t="shared" si="350"/>
        <v>0</v>
      </c>
      <c r="HO33" s="625"/>
      <c r="HP33" s="678"/>
      <c r="HQ33" s="579">
        <f>SUM(HR33:HS33)</f>
        <v>0</v>
      </c>
      <c r="HR33" s="1235">
        <f>[1]Субсидия_факт!CR31</f>
        <v>0</v>
      </c>
      <c r="HS33" s="1234">
        <f>[1]Субсидия_факт!CX31</f>
        <v>0</v>
      </c>
      <c r="HT33" s="466">
        <f>SUM(HU33:HV33)</f>
        <v>0</v>
      </c>
      <c r="HU33" s="724"/>
      <c r="HV33" s="678"/>
      <c r="HW33" s="466"/>
      <c r="HX33" s="516"/>
      <c r="HY33" s="752"/>
      <c r="HZ33" s="466"/>
      <c r="IA33" s="625"/>
      <c r="IB33" s="709"/>
      <c r="IC33" s="625"/>
      <c r="ID33" s="709"/>
      <c r="IE33" s="669"/>
      <c r="IF33" s="750"/>
      <c r="IG33" s="676"/>
      <c r="IH33" s="663"/>
      <c r="II33" s="757"/>
      <c r="IJ33" s="768"/>
      <c r="IK33" s="669"/>
      <c r="IL33" s="516"/>
      <c r="IM33" s="838"/>
      <c r="IN33" s="669"/>
      <c r="IO33" s="724"/>
      <c r="IP33" s="678"/>
      <c r="IQ33" s="466">
        <f t="shared" si="351"/>
        <v>22780790</v>
      </c>
      <c r="IR33" s="757">
        <f>[1]Субсидия_факт!CJ31</f>
        <v>0</v>
      </c>
      <c r="IS33" s="676">
        <f>[1]Субсидия_факт!CN31</f>
        <v>0</v>
      </c>
      <c r="IT33" s="757">
        <f>[1]Субсидия_факт!DH31</f>
        <v>0</v>
      </c>
      <c r="IU33" s="676">
        <f>[1]Субсидия_факт!DN31</f>
        <v>0</v>
      </c>
      <c r="IV33" s="525">
        <f>[1]Субсидия_факт!DX31</f>
        <v>6378621.2000000002</v>
      </c>
      <c r="IW33" s="689">
        <f>[1]Субсидия_факт!DZ31</f>
        <v>16402168.800000001</v>
      </c>
      <c r="IX33" s="1295">
        <f>[1]Субсидия_факт!DT31</f>
        <v>0</v>
      </c>
      <c r="IY33" s="676">
        <f>[1]Субсидия_факт!DV31</f>
        <v>0</v>
      </c>
      <c r="IZ33" s="516">
        <f>[1]Субсидия_факт!EB31</f>
        <v>0</v>
      </c>
      <c r="JA33" s="466">
        <f t="shared" si="352"/>
        <v>10380721.49</v>
      </c>
      <c r="JB33" s="625"/>
      <c r="JC33" s="678"/>
      <c r="JD33" s="625"/>
      <c r="JE33" s="678"/>
      <c r="JF33" s="625">
        <v>2906602.01</v>
      </c>
      <c r="JG33" s="678">
        <v>7474119.4800000004</v>
      </c>
      <c r="JH33" s="625"/>
      <c r="JI33" s="678"/>
      <c r="JJ33" s="625"/>
      <c r="JK33" s="748"/>
      <c r="JL33" s="757">
        <f>[1]Субсидия_факт!CL31</f>
        <v>0</v>
      </c>
      <c r="JM33" s="676">
        <f>[1]Субсидия_факт!CP31</f>
        <v>0</v>
      </c>
      <c r="JN33" s="625"/>
      <c r="JO33" s="678"/>
      <c r="JP33" s="466"/>
      <c r="JQ33" s="625"/>
      <c r="JR33" s="678"/>
      <c r="JS33" s="625"/>
      <c r="JT33" s="678"/>
      <c r="JU33" s="667"/>
      <c r="JV33" s="625"/>
      <c r="JW33" s="678"/>
      <c r="JX33" s="625"/>
      <c r="JY33" s="678"/>
      <c r="JZ33" s="667"/>
      <c r="KA33" s="625"/>
      <c r="KB33" s="678"/>
      <c r="KC33" s="625"/>
      <c r="KD33" s="678"/>
      <c r="KE33" s="669"/>
      <c r="KF33" s="625"/>
      <c r="KG33" s="678"/>
      <c r="KH33" s="625"/>
      <c r="KI33" s="678"/>
      <c r="KJ33" s="669"/>
      <c r="KK33" s="625"/>
      <c r="KL33" s="678"/>
      <c r="KM33" s="625"/>
      <c r="KN33" s="678"/>
      <c r="KO33" s="579">
        <f t="shared" si="353"/>
        <v>0</v>
      </c>
      <c r="KP33" s="516">
        <f>[1]Субсидия_факт!BX31</f>
        <v>0</v>
      </c>
      <c r="KQ33" s="838">
        <f>[1]Субсидия_факт!BZ31</f>
        <v>0</v>
      </c>
      <c r="KR33" s="516">
        <f>[1]Субсидия_факт!CB31</f>
        <v>0</v>
      </c>
      <c r="KS33" s="466">
        <f t="shared" si="354"/>
        <v>0</v>
      </c>
      <c r="KT33" s="625"/>
      <c r="KU33" s="678"/>
      <c r="KV33" s="625"/>
      <c r="KW33" s="498">
        <f>SUM(KX33:KX33)</f>
        <v>0</v>
      </c>
      <c r="KX33" s="508">
        <f>[1]Субсидия_факт!GN31</f>
        <v>0</v>
      </c>
      <c r="KY33" s="466">
        <f>SUM(KZ33:KZ33)</f>
        <v>0</v>
      </c>
      <c r="KZ33" s="625"/>
      <c r="LA33" s="754">
        <f t="shared" si="355"/>
        <v>248500000</v>
      </c>
      <c r="LB33" s="516">
        <f>[1]Субсидия_факт!JT31</f>
        <v>8294089.4799999893</v>
      </c>
      <c r="LC33" s="838">
        <f>[1]Субсидия_факт!JZ31</f>
        <v>157587700</v>
      </c>
      <c r="LD33" s="508">
        <f>[1]Субсидия_факт!KF31</f>
        <v>82618210.519999996</v>
      </c>
      <c r="LE33" s="754">
        <f t="shared" si="356"/>
        <v>155130482.94</v>
      </c>
      <c r="LF33" s="772">
        <v>6677726.4900000002</v>
      </c>
      <c r="LG33" s="678">
        <v>126876803.75</v>
      </c>
      <c r="LH33" s="625">
        <v>21575952.699999999</v>
      </c>
      <c r="LI33" s="754"/>
      <c r="LJ33" s="516"/>
      <c r="LK33" s="838"/>
      <c r="LL33" s="518"/>
      <c r="LM33" s="755"/>
      <c r="LN33" s="625"/>
      <c r="LO33" s="771"/>
      <c r="LP33" s="625"/>
      <c r="LQ33" s="662"/>
      <c r="LR33" s="652"/>
      <c r="LS33" s="682"/>
      <c r="LT33" s="622"/>
      <c r="LU33" s="756"/>
      <c r="LV33" s="750"/>
      <c r="LW33" s="676"/>
      <c r="LX33" s="757"/>
      <c r="LY33" s="1100"/>
      <c r="LZ33" s="516"/>
      <c r="MA33" s="838"/>
      <c r="MB33" s="518"/>
      <c r="MC33" s="756"/>
      <c r="MD33" s="772"/>
      <c r="ME33" s="678"/>
      <c r="MF33" s="518"/>
      <c r="MG33" s="521">
        <f t="shared" si="357"/>
        <v>0</v>
      </c>
      <c r="MH33" s="580"/>
      <c r="MI33" s="789"/>
      <c r="MJ33" s="580"/>
      <c r="MK33" s="789"/>
      <c r="ML33" s="521">
        <f t="shared" si="358"/>
        <v>0</v>
      </c>
      <c r="MM33" s="580"/>
      <c r="MN33" s="789"/>
      <c r="MO33" s="580"/>
      <c r="MP33" s="789"/>
      <c r="MQ33" s="587">
        <f t="shared" si="359"/>
        <v>0</v>
      </c>
      <c r="MR33" s="580"/>
      <c r="MS33" s="789"/>
      <c r="MT33" s="580"/>
      <c r="MU33" s="789"/>
      <c r="MV33" s="587">
        <f t="shared" si="360"/>
        <v>0</v>
      </c>
      <c r="MW33" s="580"/>
      <c r="MX33" s="789"/>
      <c r="MY33" s="580"/>
      <c r="MZ33" s="789"/>
      <c r="NA33" s="587">
        <f t="shared" si="361"/>
        <v>0</v>
      </c>
      <c r="NB33" s="580"/>
      <c r="NC33" s="789"/>
      <c r="ND33" s="580"/>
      <c r="NE33" s="789"/>
      <c r="NF33" s="587">
        <f t="shared" si="362"/>
        <v>0</v>
      </c>
      <c r="NG33" s="580"/>
      <c r="NH33" s="789"/>
      <c r="NI33" s="580"/>
      <c r="NJ33" s="789"/>
      <c r="NK33" s="498">
        <f>SUM(NL33:NM33)</f>
        <v>143730436.94999999</v>
      </c>
      <c r="NL33" s="516">
        <f>[1]Субсидия_факт!AB31</f>
        <v>5891036.9499999881</v>
      </c>
      <c r="NM33" s="838">
        <f>[1]Субсидия_факт!AD31</f>
        <v>137839400</v>
      </c>
      <c r="NN33" s="466">
        <f>SUM(NO33:NP33)</f>
        <v>58528754.009999998</v>
      </c>
      <c r="NO33" s="772">
        <v>1630952.8099999949</v>
      </c>
      <c r="NP33" s="678">
        <v>56897801.200000003</v>
      </c>
      <c r="NQ33" s="521">
        <f t="shared" si="363"/>
        <v>0</v>
      </c>
      <c r="NR33" s="525">
        <f>[1]Субсидия_факт!LH31</f>
        <v>0</v>
      </c>
      <c r="NS33" s="866">
        <f>[1]Субсидия_факт!LJ31</f>
        <v>0</v>
      </c>
      <c r="NT33" s="508">
        <f>[1]Субсидия_факт!LJ31</f>
        <v>0</v>
      </c>
      <c r="NU33" s="689">
        <f>[1]Субсидия_факт!MN31</f>
        <v>0</v>
      </c>
      <c r="NV33" s="580"/>
      <c r="NW33" s="789"/>
      <c r="NX33" s="521">
        <f t="shared" si="364"/>
        <v>0</v>
      </c>
      <c r="NY33" s="474"/>
      <c r="NZ33" s="686"/>
      <c r="OA33" s="474"/>
      <c r="OB33" s="686"/>
      <c r="OC33" s="580"/>
      <c r="OD33" s="676"/>
      <c r="OE33" s="521">
        <f t="shared" si="365"/>
        <v>0</v>
      </c>
      <c r="OF33" s="580"/>
      <c r="OG33" s="789"/>
      <c r="OH33" s="1147"/>
      <c r="OI33" s="682"/>
      <c r="OJ33" s="580"/>
      <c r="OK33" s="789"/>
      <c r="OL33" s="521">
        <f t="shared" si="366"/>
        <v>0</v>
      </c>
      <c r="OM33" s="580"/>
      <c r="ON33" s="789"/>
      <c r="OO33" s="474"/>
      <c r="OP33" s="686"/>
      <c r="OQ33" s="580"/>
      <c r="OR33" s="789"/>
      <c r="OS33" s="587">
        <f t="shared" si="367"/>
        <v>0</v>
      </c>
      <c r="OT33" s="580"/>
      <c r="OU33" s="789"/>
      <c r="OV33" s="580"/>
      <c r="OW33" s="789"/>
      <c r="OX33" s="580"/>
      <c r="OY33" s="789"/>
      <c r="OZ33" s="587">
        <f t="shared" si="368"/>
        <v>0</v>
      </c>
      <c r="PA33" s="580"/>
      <c r="PB33" s="789"/>
      <c r="PC33" s="580"/>
      <c r="PD33" s="789"/>
      <c r="PE33" s="580"/>
      <c r="PF33" s="789"/>
      <c r="PG33" s="587">
        <f t="shared" si="369"/>
        <v>0</v>
      </c>
      <c r="PH33" s="580"/>
      <c r="PI33" s="789"/>
      <c r="PJ33" s="1079"/>
      <c r="PK33" s="682"/>
      <c r="PL33" s="1222"/>
      <c r="PM33" s="676"/>
      <c r="PN33" s="587">
        <f t="shared" si="370"/>
        <v>0</v>
      </c>
      <c r="PO33" s="580"/>
      <c r="PP33" s="789"/>
      <c r="PQ33" s="474"/>
      <c r="PR33" s="686"/>
      <c r="PS33" s="580"/>
      <c r="PT33" s="789"/>
      <c r="PU33" s="529"/>
      <c r="PV33" s="516"/>
      <c r="PW33" s="838"/>
      <c r="PX33" s="529"/>
      <c r="PY33" s="516"/>
      <c r="PZ33" s="752"/>
      <c r="QA33" s="1579"/>
      <c r="QB33" s="516"/>
      <c r="QC33" s="838"/>
      <c r="QD33" s="529"/>
      <c r="QE33" s="516"/>
      <c r="QF33" s="752"/>
      <c r="QG33" s="868"/>
      <c r="QH33" s="516"/>
      <c r="QI33" s="838"/>
      <c r="QJ33" s="868"/>
      <c r="QK33" s="516"/>
      <c r="QL33" s="838"/>
      <c r="QM33" s="868"/>
      <c r="QN33" s="516"/>
      <c r="QO33" s="838"/>
      <c r="QP33" s="868"/>
      <c r="QQ33" s="516"/>
      <c r="QR33" s="752"/>
      <c r="QS33" s="521">
        <f>'Прочая  субсидия_МР  и  ГО'!B29</f>
        <v>127128134.16999999</v>
      </c>
      <c r="QT33" s="521">
        <f>'Прочая  субсидия_МР  и  ГО'!C29</f>
        <v>21169571.68</v>
      </c>
      <c r="QU33" s="529"/>
      <c r="QV33" s="529"/>
      <c r="QW33" s="601"/>
      <c r="QX33" s="602"/>
      <c r="QY33" s="601"/>
      <c r="QZ33" s="602"/>
      <c r="RA33" s="526">
        <f t="shared" si="371"/>
        <v>5141766213.8199987</v>
      </c>
      <c r="RB33" s="525">
        <f>'Проверочная  таблица'!SF33+'Проверочная  таблица'!RG33+'Проверочная  таблица'!RI33+'Проверочная  таблица'!RK33+RX33</f>
        <v>4941532478.4199991</v>
      </c>
      <c r="RC33" s="508">
        <f>'Проверочная  таблица'!SG33+'Проверочная  таблица'!RM33+'Проверочная  таблица'!RS33+'Проверочная  таблица'!RO33+'Проверочная  таблица'!RQ33+RU33+RY33+SC33</f>
        <v>200233735.40000001</v>
      </c>
      <c r="RD33" s="521">
        <f t="shared" si="372"/>
        <v>3743161219.9299998</v>
      </c>
      <c r="RE33" s="506">
        <f>'Проверочная  таблица'!SI33+'Проверочная  таблица'!RH33+'Проверочная  таблица'!RJ33+'Проверочная  таблица'!RL33+SA33</f>
        <v>3633360022.1900001</v>
      </c>
      <c r="RF33" s="508">
        <f>'Проверочная  таблица'!SJ33+'Проверочная  таблица'!RN33+'Проверочная  таблица'!RT33+'Проверочная  таблица'!RP33+'Проверочная  таблица'!RR33+RV33+SB33+SD33</f>
        <v>109801197.73999999</v>
      </c>
      <c r="RG33" s="579">
        <f>'Субвенция  на  полномочия'!B27</f>
        <v>4698405720.5099993</v>
      </c>
      <c r="RH33" s="466">
        <f>'Субвенция  на  полномочия'!C27</f>
        <v>3467364158.5700002</v>
      </c>
      <c r="RI33" s="733">
        <f>[1]Субвенция_факт!Q30*1000</f>
        <v>81930958</v>
      </c>
      <c r="RJ33" s="736">
        <v>66700000</v>
      </c>
      <c r="RK33" s="733">
        <f>[1]Субвенция_факт!J30*1000</f>
        <v>87022962.410000011</v>
      </c>
      <c r="RL33" s="736">
        <v>55018585</v>
      </c>
      <c r="RM33" s="733">
        <f>[1]Субвенция_факт!AE30*1000</f>
        <v>0</v>
      </c>
      <c r="RN33" s="736"/>
      <c r="RO33" s="733">
        <f>[1]Субвенция_факт!AF30*1000</f>
        <v>74600</v>
      </c>
      <c r="RP33" s="736">
        <v>25368</v>
      </c>
      <c r="RQ33" s="733">
        <f>[1]Субвенция_факт!E30*1000</f>
        <v>1611620</v>
      </c>
      <c r="RR33" s="736"/>
      <c r="RS33" s="733">
        <f>[1]Субвенция_факт!F30*1000</f>
        <v>6012120</v>
      </c>
      <c r="RT33" s="827">
        <f>703924+4+703930+1407860+703926+1407854</f>
        <v>4927498</v>
      </c>
      <c r="RU33" s="734">
        <f>[1]Субвенция_факт!G30*1000</f>
        <v>5996308</v>
      </c>
      <c r="RV33" s="1109">
        <f>703932+1407852+1407852+1407866</f>
        <v>4927502</v>
      </c>
      <c r="RW33" s="521">
        <f>SUM(RX33:RY33)</f>
        <v>226817561.91</v>
      </c>
      <c r="RX33" s="622">
        <f>[1]Субвенция_факт!N30*1000</f>
        <v>63508917.5</v>
      </c>
      <c r="RY33" s="682">
        <f>[1]Субвенция_факт!O30*1000</f>
        <v>163308644.41</v>
      </c>
      <c r="RZ33" s="521">
        <f>SUM(SA33:SB33)</f>
        <v>124286709.19999999</v>
      </c>
      <c r="SA33" s="531">
        <v>34800278.619999997</v>
      </c>
      <c r="SB33" s="770">
        <v>89486430.579999998</v>
      </c>
      <c r="SC33" s="170">
        <f>[1]Субвенция_факт!AG30*1000</f>
        <v>7795442.9899999993</v>
      </c>
      <c r="SD33" s="1277"/>
      <c r="SE33" s="498">
        <f t="shared" si="373"/>
        <v>26098920</v>
      </c>
      <c r="SF33" s="826">
        <f>[1]Субвенция_факт!AD30*1000</f>
        <v>10663919.999999998</v>
      </c>
      <c r="SG33" s="1566">
        <f>[1]Субвенция_факт!AC30*1000</f>
        <v>15435000</v>
      </c>
      <c r="SH33" s="466">
        <f t="shared" si="374"/>
        <v>19911399.16</v>
      </c>
      <c r="SI33" s="1559">
        <v>9477000</v>
      </c>
      <c r="SJ33" s="1635">
        <v>10434399.16</v>
      </c>
      <c r="SK33" s="280">
        <f>'Проверочная  таблица'!VC33+'Проверочная  таблица'!UO33+'Проверочная  таблица'!SY33+'Проверочная  таблица'!TC33+UA33+UG33+TK33+TQ33+SM33+SS33</f>
        <v>883259773.47000003</v>
      </c>
      <c r="SL33" s="170">
        <f>'Проверочная  таблица'!VF33+'Проверочная  таблица'!UV33+'Проверочная  таблица'!TA33+'Проверочная  таблица'!TE33+UD33+UK33+TN33+TT33+SP33+SV33</f>
        <v>797990031.56999993</v>
      </c>
      <c r="SM33" s="498">
        <f>SN33+SO33</f>
        <v>172723320</v>
      </c>
      <c r="SN33" s="833">
        <f>'[1]Иные межбюджетные трансферты'!I31</f>
        <v>0</v>
      </c>
      <c r="SO33" s="880">
        <f>'[1]Иные межбюджетные трансферты'!K31</f>
        <v>172723320</v>
      </c>
      <c r="SP33" s="466">
        <f>SUM(SQ33:SR33)</f>
        <v>128845920</v>
      </c>
      <c r="SQ33" s="1425"/>
      <c r="SR33" s="1426">
        <v>128845920</v>
      </c>
      <c r="SS33" s="521">
        <f t="shared" si="375"/>
        <v>0</v>
      </c>
      <c r="ST33" s="880">
        <f>'[1]Иные межбюджетные трансферты'!Y31</f>
        <v>0</v>
      </c>
      <c r="SU33" s="1009">
        <f>'[1]Иные межбюджетные трансферты'!AE31</f>
        <v>0</v>
      </c>
      <c r="SV33" s="521">
        <f t="shared" si="376"/>
        <v>0</v>
      </c>
      <c r="SW33" s="1426"/>
      <c r="SX33" s="1426"/>
      <c r="SY33" s="899">
        <f>SUM(SZ33:SZ33)</f>
        <v>436290000</v>
      </c>
      <c r="SZ33" s="1009">
        <f>'[1]Иные межбюджетные трансферты'!AG31</f>
        <v>436290000</v>
      </c>
      <c r="TA33" s="899">
        <f>SUM(TB33:TB33)</f>
        <v>436290000</v>
      </c>
      <c r="TB33" s="1009">
        <f>SZ33</f>
        <v>436290000</v>
      </c>
      <c r="TC33" s="899">
        <f>SUM(TD33:TD33)</f>
        <v>0</v>
      </c>
      <c r="TD33" s="1009"/>
      <c r="TE33" s="899">
        <f>SUM(TF33:TF33)</f>
        <v>0</v>
      </c>
      <c r="TF33" s="880"/>
      <c r="TG33" s="897"/>
      <c r="TH33" s="897"/>
      <c r="TI33" s="897"/>
      <c r="TJ33" s="897"/>
      <c r="TK33" s="899">
        <f t="shared" si="377"/>
        <v>0</v>
      </c>
      <c r="TL33" s="1304">
        <f>'[1]Иные межбюджетные трансферты'!AQ31</f>
        <v>0</v>
      </c>
      <c r="TM33" s="682">
        <f>'[1]Иные межбюджетные трансферты'!AU31</f>
        <v>0</v>
      </c>
      <c r="TN33" s="899">
        <f t="shared" si="378"/>
        <v>0</v>
      </c>
      <c r="TO33" s="1295"/>
      <c r="TP33" s="676"/>
      <c r="TQ33" s="899">
        <f t="shared" si="379"/>
        <v>0</v>
      </c>
      <c r="TR33" s="1295"/>
      <c r="TS33" s="676"/>
      <c r="TT33" s="899">
        <f t="shared" si="380"/>
        <v>0</v>
      </c>
      <c r="TU33" s="1295"/>
      <c r="TV33" s="676"/>
      <c r="TW33" s="1199"/>
      <c r="TX33" s="1199"/>
      <c r="TY33" s="1199"/>
      <c r="TZ33" s="1199"/>
      <c r="UA33" s="734">
        <f>SUM(UB33:UC33)</f>
        <v>0</v>
      </c>
      <c r="UB33" s="945">
        <f>'[1]Иные межбюджетные трансферты'!U31</f>
        <v>0</v>
      </c>
      <c r="UC33" s="1133">
        <f>'[1]Иные межбюджетные трансферты'!W31</f>
        <v>0</v>
      </c>
      <c r="UD33" s="734">
        <f>SUM(UE33:UF33)</f>
        <v>0</v>
      </c>
      <c r="UE33" s="945"/>
      <c r="UF33" s="1133"/>
      <c r="UG33" s="734">
        <f t="shared" si="381"/>
        <v>0</v>
      </c>
      <c r="UH33" s="945">
        <f>'[1]Иные межбюджетные трансферты'!O31</f>
        <v>0</v>
      </c>
      <c r="UI33" s="1133">
        <f>'[1]Иные межбюджетные трансферты'!Q31</f>
        <v>0</v>
      </c>
      <c r="UJ33" s="1133">
        <f>'[1]Иные межбюджетные трансферты'!S31</f>
        <v>0</v>
      </c>
      <c r="UK33" s="734">
        <f t="shared" si="382"/>
        <v>0</v>
      </c>
      <c r="UL33" s="945"/>
      <c r="UM33" s="1133"/>
      <c r="UN33" s="1133"/>
      <c r="UO33" s="834">
        <f t="shared" si="383"/>
        <v>274246453.47000003</v>
      </c>
      <c r="UP33" s="833">
        <f>'[1]Иные межбюджетные трансферты'!E31</f>
        <v>0</v>
      </c>
      <c r="UQ33" s="880">
        <f>'[1]Иные межбюджетные трансферты'!G31</f>
        <v>0</v>
      </c>
      <c r="UR33" s="830">
        <f>'[1]Иные межбюджетные трансферты'!M31</f>
        <v>43500000</v>
      </c>
      <c r="US33" s="830">
        <f>'[1]Иные межбюджетные трансферты'!AM31</f>
        <v>0</v>
      </c>
      <c r="UT33" s="1498">
        <f>'[1]Иные межбюджетные трансферты'!AY31</f>
        <v>217000000</v>
      </c>
      <c r="UU33" s="1539">
        <f>'[1]Иные межбюджетные трансферты'!BA31</f>
        <v>13746453.470000001</v>
      </c>
      <c r="UV33" s="834">
        <f t="shared" si="384"/>
        <v>232854111.56999999</v>
      </c>
      <c r="UW33" s="908"/>
      <c r="UX33" s="906"/>
      <c r="UY33" s="908">
        <v>2107658.1</v>
      </c>
      <c r="UZ33" s="516"/>
      <c r="VA33" s="518">
        <f>UT33</f>
        <v>217000000</v>
      </c>
      <c r="VB33" s="516">
        <f t="shared" si="385"/>
        <v>13746453.470000001</v>
      </c>
      <c r="VC33" s="899">
        <f t="shared" si="386"/>
        <v>0</v>
      </c>
      <c r="VD33" s="830"/>
      <c r="VE33" s="830"/>
      <c r="VF33" s="899">
        <f t="shared" si="387"/>
        <v>0</v>
      </c>
      <c r="VG33" s="518"/>
      <c r="VH33" s="518"/>
      <c r="VI33" s="1199">
        <f t="shared" si="388"/>
        <v>0</v>
      </c>
      <c r="VJ33" s="516">
        <f>'Проверочная  таблица'!VD33-VP33</f>
        <v>0</v>
      </c>
      <c r="VK33" s="516">
        <f>'Проверочная  таблица'!VE33-VQ33</f>
        <v>0</v>
      </c>
      <c r="VL33" s="1199">
        <f t="shared" si="389"/>
        <v>0</v>
      </c>
      <c r="VM33" s="516">
        <f>'Проверочная  таблица'!VG33-VS33</f>
        <v>0</v>
      </c>
      <c r="VN33" s="516">
        <f>'Проверочная  таблица'!VH33-VT33</f>
        <v>0</v>
      </c>
      <c r="VO33" s="1199">
        <f t="shared" si="390"/>
        <v>0</v>
      </c>
      <c r="VP33" s="832"/>
      <c r="VQ33" s="830">
        <f>'[1]Иные межбюджетные трансферты'!BE31</f>
        <v>0</v>
      </c>
      <c r="VR33" s="1199">
        <f t="shared" si="391"/>
        <v>0</v>
      </c>
      <c r="VS33" s="518"/>
      <c r="VT33" s="518"/>
      <c r="VU33" s="521">
        <f>VW33+'Проверочная  таблица'!WE33+WA33+'Проверочная  таблица'!WI33+WC33+'Проверочная  таблица'!WK33</f>
        <v>1390000000</v>
      </c>
      <c r="VV33" s="521">
        <f>VX33+'Проверочная  таблица'!WF33+WB33+'Проверочная  таблица'!WJ33+WD33+'Проверочная  таблица'!WL33</f>
        <v>1450000000</v>
      </c>
      <c r="VW33" s="529">
        <v>1450000000</v>
      </c>
      <c r="VX33" s="529">
        <v>1450000000</v>
      </c>
      <c r="VY33" s="529"/>
      <c r="VZ33" s="529"/>
      <c r="WA33" s="523"/>
      <c r="WB33" s="523"/>
      <c r="WC33" s="523"/>
      <c r="WD33" s="523"/>
      <c r="WE33" s="529">
        <v>-60000000</v>
      </c>
      <c r="WF33" s="529"/>
      <c r="WG33" s="529"/>
      <c r="WH33" s="529"/>
      <c r="WI33" s="523"/>
      <c r="WJ33" s="523"/>
      <c r="WK33" s="523"/>
      <c r="WL33" s="523"/>
      <c r="WM33" s="252">
        <f>'Проверочная  таблица'!WE33+'Проверочная  таблица'!WG33</f>
        <v>-60000000</v>
      </c>
      <c r="WN33" s="252">
        <f>'Проверочная  таблица'!WF33+'Проверочная  таблица'!WH33</f>
        <v>0</v>
      </c>
    </row>
    <row r="34" spans="1:612" s="338" customFormat="1" ht="25.5" customHeight="1" thickBot="1" x14ac:dyDescent="0.3">
      <c r="A34" s="350" t="s">
        <v>7</v>
      </c>
      <c r="B34" s="345">
        <f t="shared" ref="B34:AG34" si="392">SUM(B32:B33)</f>
        <v>11265105090.249998</v>
      </c>
      <c r="C34" s="345">
        <f t="shared" si="392"/>
        <v>7779137855.2099991</v>
      </c>
      <c r="D34" s="569">
        <f t="shared" si="392"/>
        <v>1504303718</v>
      </c>
      <c r="E34" s="447">
        <f t="shared" si="392"/>
        <v>853053298.71000004</v>
      </c>
      <c r="F34" s="569">
        <f t="shared" si="392"/>
        <v>199370566.00000003</v>
      </c>
      <c r="G34" s="447">
        <f t="shared" si="392"/>
        <v>183434100</v>
      </c>
      <c r="H34" s="345">
        <f t="shared" si="392"/>
        <v>0</v>
      </c>
      <c r="I34" s="447">
        <f t="shared" si="392"/>
        <v>0</v>
      </c>
      <c r="J34" s="603">
        <f t="shared" si="392"/>
        <v>0</v>
      </c>
      <c r="K34" s="603">
        <f t="shared" si="392"/>
        <v>0</v>
      </c>
      <c r="L34" s="603">
        <f t="shared" si="392"/>
        <v>0</v>
      </c>
      <c r="M34" s="867">
        <f t="shared" si="392"/>
        <v>0</v>
      </c>
      <c r="N34" s="447">
        <f t="shared" si="392"/>
        <v>1303333152</v>
      </c>
      <c r="O34" s="609">
        <f t="shared" si="392"/>
        <v>669119198.71000004</v>
      </c>
      <c r="P34" s="447">
        <f t="shared" si="392"/>
        <v>0</v>
      </c>
      <c r="Q34" s="447">
        <f t="shared" si="392"/>
        <v>0</v>
      </c>
      <c r="R34" s="605">
        <f t="shared" si="392"/>
        <v>0</v>
      </c>
      <c r="S34" s="603">
        <f t="shared" si="392"/>
        <v>0</v>
      </c>
      <c r="T34" s="605">
        <f t="shared" si="392"/>
        <v>0</v>
      </c>
      <c r="U34" s="761">
        <f t="shared" si="392"/>
        <v>0</v>
      </c>
      <c r="V34" s="447">
        <f t="shared" si="392"/>
        <v>1600000</v>
      </c>
      <c r="W34" s="345">
        <f t="shared" si="392"/>
        <v>500000</v>
      </c>
      <c r="X34" s="629">
        <f t="shared" si="392"/>
        <v>0</v>
      </c>
      <c r="Y34" s="470">
        <f t="shared" si="392"/>
        <v>500000</v>
      </c>
      <c r="Z34" s="470">
        <f t="shared" si="392"/>
        <v>0</v>
      </c>
      <c r="AA34" s="345">
        <f t="shared" si="392"/>
        <v>0</v>
      </c>
      <c r="AB34" s="345">
        <f t="shared" si="392"/>
        <v>0</v>
      </c>
      <c r="AC34" s="470">
        <f t="shared" si="392"/>
        <v>0</v>
      </c>
      <c r="AD34" s="470">
        <f t="shared" si="392"/>
        <v>0</v>
      </c>
      <c r="AE34" s="605">
        <f t="shared" si="392"/>
        <v>0</v>
      </c>
      <c r="AF34" s="603">
        <f t="shared" si="392"/>
        <v>0</v>
      </c>
      <c r="AG34" s="605">
        <f t="shared" si="392"/>
        <v>0</v>
      </c>
      <c r="AH34" s="603">
        <f t="shared" ref="AH34:AK34" si="393">SUM(AH32:AH33)</f>
        <v>0</v>
      </c>
      <c r="AI34" s="473">
        <f t="shared" si="393"/>
        <v>2699004984.4200001</v>
      </c>
      <c r="AJ34" s="473">
        <f t="shared" si="393"/>
        <v>1612871543.1499996</v>
      </c>
      <c r="AK34" s="447">
        <f t="shared" si="393"/>
        <v>0</v>
      </c>
      <c r="AL34" s="571">
        <f>SUM(AL32:AL33)</f>
        <v>0</v>
      </c>
      <c r="AM34" s="576">
        <f>SUM(AM32:AM33)</f>
        <v>0</v>
      </c>
      <c r="AN34" s="572">
        <f t="shared" ref="AN34" si="394">SUM(AN32:AN33)</f>
        <v>0</v>
      </c>
      <c r="AO34" s="472">
        <f>SUM(AO32:AO33)</f>
        <v>0</v>
      </c>
      <c r="AP34" s="470">
        <f>SUM(AP32:AP33)</f>
        <v>0</v>
      </c>
      <c r="AQ34" s="447">
        <f t="shared" ref="AQ34" si="395">SUM(AQ32:AQ33)</f>
        <v>0</v>
      </c>
      <c r="AR34" s="470">
        <f>SUM(AR32:AR33)</f>
        <v>0</v>
      </c>
      <c r="AS34" s="470">
        <f>SUM(AS32:AS33)</f>
        <v>0</v>
      </c>
      <c r="AT34" s="470">
        <f t="shared" ref="AT34" si="396">SUM(AT32:AT33)</f>
        <v>0</v>
      </c>
      <c r="AU34" s="606">
        <f>SUM(AU32:AU33)</f>
        <v>0</v>
      </c>
      <c r="AV34" s="470">
        <f>SUM(AV32:AV33)</f>
        <v>0</v>
      </c>
      <c r="AW34" s="473">
        <f t="shared" ref="AW34" si="397">SUM(AW32:AW33)</f>
        <v>0</v>
      </c>
      <c r="AX34" s="470">
        <f>SUM(AX32:AX33)</f>
        <v>0</v>
      </c>
      <c r="AY34" s="607">
        <f>SUM(AY32:AY33)</f>
        <v>0</v>
      </c>
      <c r="AZ34" s="467">
        <f>SUM(AZ32:AZ33)</f>
        <v>0</v>
      </c>
      <c r="BA34" s="447">
        <f t="shared" ref="BA34" si="398">SUM(BA32:BA33)</f>
        <v>0</v>
      </c>
      <c r="BB34" s="470">
        <f>SUM(BB32:BB33)</f>
        <v>0</v>
      </c>
      <c r="BC34" s="470">
        <f>SUM(BC32:BC33)</f>
        <v>0</v>
      </c>
      <c r="BD34" s="608">
        <f>SUM(BD32:BD33)</f>
        <v>0</v>
      </c>
      <c r="BE34" s="595">
        <f t="shared" ref="BE34" si="399">SUM(BE32:BE33)</f>
        <v>0</v>
      </c>
      <c r="BF34" s="608">
        <f>SUM(BF32:BF33)</f>
        <v>0</v>
      </c>
      <c r="BG34" s="597">
        <f>SUM(BG32:BG33)</f>
        <v>0</v>
      </c>
      <c r="BH34" s="470">
        <f>SUM(BH32:BH33)</f>
        <v>0</v>
      </c>
      <c r="BI34" s="664">
        <f t="shared" ref="BI34" si="400">SUM(BI32:BI33)</f>
        <v>0</v>
      </c>
      <c r="BJ34" s="470">
        <f>SUM(BJ32:BJ33)</f>
        <v>0</v>
      </c>
      <c r="BK34" s="607">
        <f>SUM(BK32:BK33)</f>
        <v>0</v>
      </c>
      <c r="BL34" s="470">
        <f>SUM(BL32:BL33)</f>
        <v>0</v>
      </c>
      <c r="BM34" s="595">
        <f t="shared" ref="BM34" si="401">SUM(BM32:BM33)</f>
        <v>0</v>
      </c>
      <c r="BN34" s="608">
        <f>SUM(BN32:BN33)</f>
        <v>0</v>
      </c>
      <c r="BO34" s="467">
        <f>SUM(BO32:BO33)</f>
        <v>0</v>
      </c>
      <c r="BP34" s="608">
        <f>SUM(BP32:BP33)</f>
        <v>0</v>
      </c>
      <c r="BQ34" s="595">
        <f t="shared" ref="BQ34" si="402">SUM(BQ32:BQ33)</f>
        <v>0</v>
      </c>
      <c r="BR34" s="608">
        <f>SUM(BR32:BR33)</f>
        <v>0</v>
      </c>
      <c r="BS34" s="470">
        <f>SUM(BS32:BS33)</f>
        <v>0</v>
      </c>
      <c r="BT34" s="608">
        <f>SUM(BT32:BT33)</f>
        <v>0</v>
      </c>
      <c r="BU34" s="345">
        <f t="shared" ref="BU34:CO34" si="403">SUM(BU32:BU33)</f>
        <v>999280183.6500001</v>
      </c>
      <c r="BV34" s="470">
        <f t="shared" si="403"/>
        <v>136683086.20000002</v>
      </c>
      <c r="BW34" s="467">
        <f t="shared" si="403"/>
        <v>22000000</v>
      </c>
      <c r="BX34" s="467">
        <f>SUM(BX32:BX33)</f>
        <v>170000000</v>
      </c>
      <c r="BY34" s="467">
        <f>SUM(BY32:BY33)</f>
        <v>670597097.45000005</v>
      </c>
      <c r="BZ34" s="345">
        <f t="shared" ref="BZ34" si="404">SUM(BZ32:BZ33)</f>
        <v>454438041.11000001</v>
      </c>
      <c r="CA34" s="606">
        <f t="shared" si="403"/>
        <v>66610549.280000001</v>
      </c>
      <c r="CB34" s="470">
        <f t="shared" si="403"/>
        <v>9171955.4700000007</v>
      </c>
      <c r="CC34" s="467">
        <f>SUM(CC32:CC33)</f>
        <v>128199146.23999999</v>
      </c>
      <c r="CD34" s="467">
        <f>SUM(CD32:CD33)</f>
        <v>250456390.12</v>
      </c>
      <c r="CE34" s="345">
        <f t="shared" ref="CE34" si="405">SUM(CE32:CE33)</f>
        <v>0</v>
      </c>
      <c r="CF34" s="470">
        <f t="shared" si="403"/>
        <v>0</v>
      </c>
      <c r="CG34" s="470">
        <f t="shared" si="403"/>
        <v>0</v>
      </c>
      <c r="CH34" s="467">
        <f>SUM(CH32:CH33)</f>
        <v>0</v>
      </c>
      <c r="CI34" s="467">
        <f>SUM(CI32:CI33)</f>
        <v>0</v>
      </c>
      <c r="CJ34" s="345">
        <f t="shared" ref="CJ34" si="406">SUM(CJ32:CJ33)</f>
        <v>0</v>
      </c>
      <c r="CK34" s="470">
        <f t="shared" si="403"/>
        <v>0</v>
      </c>
      <c r="CL34" s="608">
        <f t="shared" si="403"/>
        <v>0</v>
      </c>
      <c r="CM34" s="467">
        <f>SUM(CM32:CM33)</f>
        <v>0</v>
      </c>
      <c r="CN34" s="467">
        <f>SUM(CN32:CN33)</f>
        <v>0</v>
      </c>
      <c r="CO34" s="603">
        <f t="shared" si="403"/>
        <v>0</v>
      </c>
      <c r="CP34" s="603">
        <f t="shared" ref="CP34:DW34" si="407">SUM(CP32:CP33)</f>
        <v>0</v>
      </c>
      <c r="CQ34" s="603">
        <f t="shared" si="407"/>
        <v>0</v>
      </c>
      <c r="CR34" s="1076">
        <f t="shared" si="407"/>
        <v>0</v>
      </c>
      <c r="CS34" s="447">
        <f t="shared" si="407"/>
        <v>586293809.74999988</v>
      </c>
      <c r="CT34" s="611">
        <f t="shared" si="407"/>
        <v>472771167.60999995</v>
      </c>
      <c r="CU34" s="513">
        <f t="shared" si="407"/>
        <v>0</v>
      </c>
      <c r="CV34" s="447">
        <f t="shared" si="407"/>
        <v>0</v>
      </c>
      <c r="CW34" s="605">
        <f t="shared" si="407"/>
        <v>0</v>
      </c>
      <c r="CX34" s="574">
        <f t="shared" si="407"/>
        <v>0</v>
      </c>
      <c r="CY34" s="605">
        <f t="shared" si="407"/>
        <v>0</v>
      </c>
      <c r="CZ34" s="574">
        <f t="shared" si="407"/>
        <v>0</v>
      </c>
      <c r="DA34" s="609">
        <f t="shared" si="407"/>
        <v>72741276.260000005</v>
      </c>
      <c r="DB34" s="447">
        <f t="shared" si="407"/>
        <v>59153073.780000001</v>
      </c>
      <c r="DC34" s="609">
        <f t="shared" si="407"/>
        <v>0</v>
      </c>
      <c r="DD34" s="447">
        <f t="shared" si="407"/>
        <v>0</v>
      </c>
      <c r="DE34" s="610">
        <f t="shared" si="407"/>
        <v>0</v>
      </c>
      <c r="DF34" s="574">
        <f t="shared" si="407"/>
        <v>0</v>
      </c>
      <c r="DG34" s="610">
        <f t="shared" si="407"/>
        <v>0</v>
      </c>
      <c r="DH34" s="574">
        <f t="shared" si="407"/>
        <v>0</v>
      </c>
      <c r="DI34" s="473">
        <f t="shared" ref="DI34:DP34" si="408">SUM(DI32:DI33)</f>
        <v>0</v>
      </c>
      <c r="DJ34" s="470">
        <f t="shared" si="408"/>
        <v>0</v>
      </c>
      <c r="DK34" s="470">
        <f t="shared" si="408"/>
        <v>0</v>
      </c>
      <c r="DL34" s="769">
        <f t="shared" si="408"/>
        <v>0</v>
      </c>
      <c r="DM34" s="447">
        <f t="shared" ref="DM34" si="409">SUM(DM32:DM33)</f>
        <v>0</v>
      </c>
      <c r="DN34" s="470">
        <f t="shared" ref="DN34" si="410">SUM(DN32:DN33)</f>
        <v>0</v>
      </c>
      <c r="DO34" s="470">
        <f t="shared" si="408"/>
        <v>0</v>
      </c>
      <c r="DP34" s="679">
        <f t="shared" si="408"/>
        <v>0</v>
      </c>
      <c r="DQ34" s="609">
        <f t="shared" si="407"/>
        <v>4488800</v>
      </c>
      <c r="DR34" s="576">
        <f t="shared" si="407"/>
        <v>2208800</v>
      </c>
      <c r="DS34" s="600">
        <f t="shared" si="407"/>
        <v>0</v>
      </c>
      <c r="DT34" s="680">
        <f t="shared" si="407"/>
        <v>0</v>
      </c>
      <c r="DU34" s="600">
        <f t="shared" si="407"/>
        <v>0</v>
      </c>
      <c r="DV34" s="680">
        <f t="shared" si="407"/>
        <v>0</v>
      </c>
      <c r="DW34" s="851">
        <f t="shared" si="407"/>
        <v>2280000</v>
      </c>
      <c r="DX34" s="447">
        <f t="shared" ref="DX34:ED34" si="411">SUM(DX32:DX33)</f>
        <v>4152862.76</v>
      </c>
      <c r="DY34" s="762">
        <f t="shared" si="411"/>
        <v>1872862.76</v>
      </c>
      <c r="DZ34" s="606">
        <f t="shared" si="411"/>
        <v>0</v>
      </c>
      <c r="EA34" s="679">
        <f t="shared" si="411"/>
        <v>0</v>
      </c>
      <c r="EB34" s="606">
        <f t="shared" si="411"/>
        <v>0</v>
      </c>
      <c r="EC34" s="679">
        <f t="shared" si="411"/>
        <v>0</v>
      </c>
      <c r="ED34" s="657">
        <f t="shared" si="411"/>
        <v>2280000</v>
      </c>
      <c r="EE34" s="473">
        <f t="shared" ref="EE34:EJ34" si="412">SUM(EE32:EE33)</f>
        <v>0</v>
      </c>
      <c r="EF34" s="470">
        <f t="shared" si="412"/>
        <v>0</v>
      </c>
      <c r="EG34" s="769">
        <f t="shared" si="412"/>
        <v>0</v>
      </c>
      <c r="EH34" s="447">
        <f t="shared" si="412"/>
        <v>0</v>
      </c>
      <c r="EI34" s="608">
        <f t="shared" si="412"/>
        <v>0</v>
      </c>
      <c r="EJ34" s="679">
        <f t="shared" si="412"/>
        <v>0</v>
      </c>
      <c r="EK34" s="569">
        <f t="shared" ref="EK34:FJ34" si="413">SUM(EK32:EK33)</f>
        <v>0</v>
      </c>
      <c r="EL34" s="593">
        <f t="shared" si="413"/>
        <v>0</v>
      </c>
      <c r="EM34" s="684">
        <f t="shared" si="413"/>
        <v>0</v>
      </c>
      <c r="EN34" s="600">
        <f>SUM(EN32:EN33)</f>
        <v>0</v>
      </c>
      <c r="EO34" s="680">
        <f>SUM(EO32:EO33)</f>
        <v>0</v>
      </c>
      <c r="EP34" s="606">
        <f t="shared" si="413"/>
        <v>0</v>
      </c>
      <c r="EQ34" s="679">
        <f t="shared" si="413"/>
        <v>0</v>
      </c>
      <c r="ER34" s="345">
        <f t="shared" si="413"/>
        <v>0</v>
      </c>
      <c r="ES34" s="606">
        <f t="shared" si="413"/>
        <v>0</v>
      </c>
      <c r="ET34" s="679">
        <f t="shared" si="413"/>
        <v>0</v>
      </c>
      <c r="EU34" s="606">
        <f>SUM(EU32:EU33)</f>
        <v>0</v>
      </c>
      <c r="EV34" s="679">
        <f>SUM(EV32:EV33)</f>
        <v>0</v>
      </c>
      <c r="EW34" s="606">
        <f t="shared" ref="EW34:EX34" si="414">SUM(EW32:EW33)</f>
        <v>0</v>
      </c>
      <c r="EX34" s="679">
        <f t="shared" si="414"/>
        <v>0</v>
      </c>
      <c r="EY34" s="473">
        <f t="shared" ref="EY34:FB34" si="415">SUM(EY32:EY33)</f>
        <v>25526315.789999999</v>
      </c>
      <c r="EZ34" s="470">
        <f t="shared" ref="EZ34" si="416">SUM(EZ32:EZ33)</f>
        <v>526315.79</v>
      </c>
      <c r="FA34" s="679">
        <f t="shared" ref="FA34" si="417">SUM(FA32:FA33)</f>
        <v>25000000</v>
      </c>
      <c r="FB34" s="447">
        <f t="shared" si="415"/>
        <v>25526315.789999999</v>
      </c>
      <c r="FC34" s="608">
        <f t="shared" ref="FC34" si="418">SUM(FC32:FC33)</f>
        <v>526315.79</v>
      </c>
      <c r="FD34" s="679">
        <f t="shared" ref="FD34" si="419">SUM(FD32:FD33)</f>
        <v>25000000</v>
      </c>
      <c r="FE34" s="473">
        <f t="shared" si="413"/>
        <v>0</v>
      </c>
      <c r="FF34" s="470">
        <f t="shared" si="413"/>
        <v>0</v>
      </c>
      <c r="FG34" s="769">
        <f t="shared" si="413"/>
        <v>0</v>
      </c>
      <c r="FH34" s="447">
        <f t="shared" si="413"/>
        <v>0</v>
      </c>
      <c r="FI34" s="608">
        <f t="shared" si="413"/>
        <v>0</v>
      </c>
      <c r="FJ34" s="679">
        <f t="shared" si="413"/>
        <v>0</v>
      </c>
      <c r="FK34" s="473">
        <f t="shared" ref="FK34:FP34" si="420">SUM(FK32:FK33)</f>
        <v>113922091.69</v>
      </c>
      <c r="FL34" s="470">
        <f t="shared" si="420"/>
        <v>5696106.1599999946</v>
      </c>
      <c r="FM34" s="769">
        <f t="shared" si="420"/>
        <v>108225985.53</v>
      </c>
      <c r="FN34" s="447">
        <f t="shared" si="420"/>
        <v>64026319.340000004</v>
      </c>
      <c r="FO34" s="608">
        <f t="shared" si="420"/>
        <v>3201316.85</v>
      </c>
      <c r="FP34" s="679">
        <f t="shared" si="420"/>
        <v>60825002.490000002</v>
      </c>
      <c r="FQ34" s="473">
        <f t="shared" ref="FQ34:HJ34" si="421">SUM(FQ32:FQ33)</f>
        <v>51387500</v>
      </c>
      <c r="FR34" s="470">
        <f t="shared" si="421"/>
        <v>14388500</v>
      </c>
      <c r="FS34" s="769">
        <f t="shared" si="421"/>
        <v>36999000</v>
      </c>
      <c r="FT34" s="447">
        <f t="shared" si="421"/>
        <v>48296830.339999996</v>
      </c>
      <c r="FU34" s="608">
        <f t="shared" si="421"/>
        <v>13523367.289999999</v>
      </c>
      <c r="FV34" s="679">
        <f t="shared" si="421"/>
        <v>34773463.049999997</v>
      </c>
      <c r="FW34" s="473">
        <f t="shared" ref="FW34:GB34" si="422">SUM(FW32:FW33)</f>
        <v>0</v>
      </c>
      <c r="FX34" s="470">
        <f t="shared" si="422"/>
        <v>0</v>
      </c>
      <c r="FY34" s="769">
        <f t="shared" si="422"/>
        <v>0</v>
      </c>
      <c r="FZ34" s="447">
        <f t="shared" si="422"/>
        <v>0</v>
      </c>
      <c r="GA34" s="608">
        <f t="shared" si="422"/>
        <v>0</v>
      </c>
      <c r="GB34" s="679">
        <f t="shared" si="422"/>
        <v>0</v>
      </c>
      <c r="GC34" s="664">
        <f t="shared" ref="GC34:GD34" si="423">SUM(GC32:GC33)</f>
        <v>0</v>
      </c>
      <c r="GD34" s="595">
        <f t="shared" si="423"/>
        <v>0</v>
      </c>
      <c r="GE34" s="664">
        <f t="shared" ref="GE34:GL34" si="424">SUM(GE32:GE33)</f>
        <v>0</v>
      </c>
      <c r="GF34" s="595">
        <f t="shared" si="424"/>
        <v>0</v>
      </c>
      <c r="GG34" s="473">
        <f t="shared" si="424"/>
        <v>0</v>
      </c>
      <c r="GH34" s="470">
        <f t="shared" si="424"/>
        <v>0</v>
      </c>
      <c r="GI34" s="710">
        <f t="shared" si="424"/>
        <v>0</v>
      </c>
      <c r="GJ34" s="473">
        <f t="shared" si="424"/>
        <v>0</v>
      </c>
      <c r="GK34" s="470">
        <f t="shared" si="424"/>
        <v>0</v>
      </c>
      <c r="GL34" s="710">
        <f t="shared" si="424"/>
        <v>0</v>
      </c>
      <c r="GM34" s="473">
        <f t="shared" si="421"/>
        <v>0</v>
      </c>
      <c r="GN34" s="470">
        <f t="shared" si="421"/>
        <v>0</v>
      </c>
      <c r="GO34" s="769">
        <f t="shared" si="421"/>
        <v>0</v>
      </c>
      <c r="GP34" s="447">
        <f t="shared" si="421"/>
        <v>0</v>
      </c>
      <c r="GQ34" s="470">
        <f t="shared" si="421"/>
        <v>0</v>
      </c>
      <c r="GR34" s="710">
        <f t="shared" si="421"/>
        <v>0</v>
      </c>
      <c r="GS34" s="473">
        <f t="shared" si="421"/>
        <v>0</v>
      </c>
      <c r="GT34" s="470">
        <f t="shared" si="421"/>
        <v>0</v>
      </c>
      <c r="GU34" s="769">
        <f t="shared" si="421"/>
        <v>0</v>
      </c>
      <c r="GV34" s="447">
        <f t="shared" si="421"/>
        <v>0</v>
      </c>
      <c r="GW34" s="470">
        <f t="shared" si="421"/>
        <v>0</v>
      </c>
      <c r="GX34" s="710">
        <f t="shared" si="421"/>
        <v>0</v>
      </c>
      <c r="GY34" s="664">
        <f t="shared" si="421"/>
        <v>0</v>
      </c>
      <c r="GZ34" s="470">
        <f t="shared" si="421"/>
        <v>0</v>
      </c>
      <c r="HA34" s="769">
        <f t="shared" si="421"/>
        <v>0</v>
      </c>
      <c r="HB34" s="595">
        <f t="shared" si="421"/>
        <v>0</v>
      </c>
      <c r="HC34" s="470">
        <f t="shared" si="421"/>
        <v>0</v>
      </c>
      <c r="HD34" s="710">
        <f t="shared" si="421"/>
        <v>0</v>
      </c>
      <c r="HE34" s="664">
        <f t="shared" si="421"/>
        <v>0</v>
      </c>
      <c r="HF34" s="470">
        <f t="shared" si="421"/>
        <v>0</v>
      </c>
      <c r="HG34" s="769">
        <f t="shared" si="421"/>
        <v>0</v>
      </c>
      <c r="HH34" s="595">
        <f t="shared" si="421"/>
        <v>0</v>
      </c>
      <c r="HI34" s="470">
        <f t="shared" si="421"/>
        <v>0</v>
      </c>
      <c r="HJ34" s="710">
        <f t="shared" si="421"/>
        <v>0</v>
      </c>
      <c r="HK34" s="473">
        <f t="shared" ref="HK34:HP34" si="425">SUM(HK32:HK33)</f>
        <v>3740139</v>
      </c>
      <c r="HL34" s="657">
        <f t="shared" si="425"/>
        <v>1047239</v>
      </c>
      <c r="HM34" s="777">
        <f t="shared" si="425"/>
        <v>2692900</v>
      </c>
      <c r="HN34" s="447">
        <f t="shared" si="425"/>
        <v>3740139</v>
      </c>
      <c r="HO34" s="659">
        <f t="shared" si="425"/>
        <v>1047239</v>
      </c>
      <c r="HP34" s="679">
        <f t="shared" si="425"/>
        <v>2692900</v>
      </c>
      <c r="HQ34" s="609">
        <f t="shared" ref="HQ34:IS34" si="426">SUM(HQ32:HQ33)</f>
        <v>0</v>
      </c>
      <c r="HR34" s="659">
        <f t="shared" si="426"/>
        <v>0</v>
      </c>
      <c r="HS34" s="679">
        <f t="shared" si="426"/>
        <v>0</v>
      </c>
      <c r="HT34" s="447">
        <f t="shared" si="426"/>
        <v>0</v>
      </c>
      <c r="HU34" s="774">
        <f t="shared" si="426"/>
        <v>0</v>
      </c>
      <c r="HV34" s="677">
        <f t="shared" si="426"/>
        <v>0</v>
      </c>
      <c r="HW34" s="447">
        <f t="shared" si="426"/>
        <v>0</v>
      </c>
      <c r="HX34" s="762">
        <f t="shared" si="426"/>
        <v>0</v>
      </c>
      <c r="HY34" s="679">
        <f t="shared" si="426"/>
        <v>0</v>
      </c>
      <c r="HZ34" s="447">
        <f t="shared" si="426"/>
        <v>0</v>
      </c>
      <c r="IA34" s="647">
        <f t="shared" si="426"/>
        <v>0</v>
      </c>
      <c r="IB34" s="679">
        <f t="shared" si="426"/>
        <v>0</v>
      </c>
      <c r="IC34" s="647">
        <f t="shared" ref="IC34:ID34" si="427">SUM(IC32:IC33)</f>
        <v>0</v>
      </c>
      <c r="ID34" s="679">
        <f t="shared" si="427"/>
        <v>0</v>
      </c>
      <c r="IE34" s="595">
        <f t="shared" si="426"/>
        <v>0</v>
      </c>
      <c r="IF34" s="763">
        <f t="shared" si="426"/>
        <v>0</v>
      </c>
      <c r="IG34" s="677">
        <f t="shared" si="426"/>
        <v>0</v>
      </c>
      <c r="IH34" s="665">
        <f t="shared" si="426"/>
        <v>0</v>
      </c>
      <c r="II34" s="657">
        <f t="shared" si="426"/>
        <v>0</v>
      </c>
      <c r="IJ34" s="769">
        <f t="shared" si="426"/>
        <v>0</v>
      </c>
      <c r="IK34" s="595">
        <f t="shared" si="426"/>
        <v>0</v>
      </c>
      <c r="IL34" s="763">
        <f t="shared" si="426"/>
        <v>0</v>
      </c>
      <c r="IM34" s="677">
        <f t="shared" si="426"/>
        <v>0</v>
      </c>
      <c r="IN34" s="595">
        <f t="shared" si="426"/>
        <v>0</v>
      </c>
      <c r="IO34" s="774">
        <f t="shared" si="426"/>
        <v>0</v>
      </c>
      <c r="IP34" s="677">
        <f t="shared" si="426"/>
        <v>0</v>
      </c>
      <c r="IQ34" s="345">
        <f t="shared" si="426"/>
        <v>22780790</v>
      </c>
      <c r="IR34" s="470">
        <f t="shared" si="426"/>
        <v>0</v>
      </c>
      <c r="IS34" s="710">
        <f t="shared" si="426"/>
        <v>0</v>
      </c>
      <c r="IT34" s="470">
        <f t="shared" ref="IT34:IY34" si="428">SUM(IT32:IT33)</f>
        <v>0</v>
      </c>
      <c r="IU34" s="710">
        <f t="shared" si="428"/>
        <v>0</v>
      </c>
      <c r="IV34" s="657">
        <f t="shared" si="428"/>
        <v>6378621.2000000002</v>
      </c>
      <c r="IW34" s="778">
        <f t="shared" si="428"/>
        <v>16402168.800000001</v>
      </c>
      <c r="IX34" s="629">
        <f t="shared" si="428"/>
        <v>0</v>
      </c>
      <c r="IY34" s="710">
        <f t="shared" si="428"/>
        <v>0</v>
      </c>
      <c r="IZ34" s="647">
        <f t="shared" ref="IZ34:JA34" si="429">SUM(IZ32:IZ33)</f>
        <v>0</v>
      </c>
      <c r="JA34" s="345">
        <f t="shared" si="429"/>
        <v>10380721.49</v>
      </c>
      <c r="JB34" s="470">
        <f t="shared" ref="JB34:JL34" si="430">SUM(JB32:JB33)</f>
        <v>0</v>
      </c>
      <c r="JC34" s="710">
        <f t="shared" si="430"/>
        <v>0</v>
      </c>
      <c r="JD34" s="470">
        <f t="shared" ref="JD34:JI34" si="431">SUM(JD32:JD33)</f>
        <v>0</v>
      </c>
      <c r="JE34" s="710">
        <f t="shared" si="431"/>
        <v>0</v>
      </c>
      <c r="JF34" s="659">
        <f t="shared" si="431"/>
        <v>2906602.01</v>
      </c>
      <c r="JG34" s="679">
        <f t="shared" si="431"/>
        <v>7474119.4800000004</v>
      </c>
      <c r="JH34" s="470">
        <f t="shared" si="431"/>
        <v>0</v>
      </c>
      <c r="JI34" s="710">
        <f t="shared" si="431"/>
        <v>0</v>
      </c>
      <c r="JJ34" s="470">
        <f t="shared" ref="JJ34" si="432">SUM(JJ32:JJ33)</f>
        <v>0</v>
      </c>
      <c r="JK34" s="511">
        <f t="shared" si="430"/>
        <v>0</v>
      </c>
      <c r="JL34" s="470">
        <f t="shared" si="430"/>
        <v>0</v>
      </c>
      <c r="JM34" s="710">
        <f t="shared" ref="JM34" si="433">SUM(JM32:JM33)</f>
        <v>0</v>
      </c>
      <c r="JN34" s="470">
        <f>SUM(JN32:JN33)</f>
        <v>0</v>
      </c>
      <c r="JO34" s="710">
        <f>SUM(JO32:JO33)</f>
        <v>0</v>
      </c>
      <c r="JP34" s="345">
        <f t="shared" ref="JP34:KG34" si="434">SUM(JP32:JP33)</f>
        <v>0</v>
      </c>
      <c r="JQ34" s="470">
        <f t="shared" si="434"/>
        <v>0</v>
      </c>
      <c r="JR34" s="710">
        <f t="shared" si="434"/>
        <v>0</v>
      </c>
      <c r="JS34" s="470">
        <f t="shared" ref="JS34:JT34" si="435">SUM(JS32:JS33)</f>
        <v>0</v>
      </c>
      <c r="JT34" s="710">
        <f t="shared" si="435"/>
        <v>0</v>
      </c>
      <c r="JU34" s="761">
        <f t="shared" si="434"/>
        <v>0</v>
      </c>
      <c r="JV34" s="470">
        <f>SUM(JV32:JV33)</f>
        <v>0</v>
      </c>
      <c r="JW34" s="679">
        <f>SUM(JW32:JW33)</f>
        <v>0</v>
      </c>
      <c r="JX34" s="470">
        <f>SUM(JX32:JX33)</f>
        <v>0</v>
      </c>
      <c r="JY34" s="710">
        <f>SUM(JY32:JY33)</f>
        <v>0</v>
      </c>
      <c r="JZ34" s="761">
        <f t="shared" si="434"/>
        <v>0</v>
      </c>
      <c r="KA34" s="470">
        <f>SUM(KA32:KA33)</f>
        <v>0</v>
      </c>
      <c r="KB34" s="679">
        <f>SUM(KB32:KB33)</f>
        <v>0</v>
      </c>
      <c r="KC34" s="470">
        <f>SUM(KC32:KC33)</f>
        <v>0</v>
      </c>
      <c r="KD34" s="710">
        <f>SUM(KD32:KD33)</f>
        <v>0</v>
      </c>
      <c r="KE34" s="603">
        <f t="shared" si="434"/>
        <v>0</v>
      </c>
      <c r="KF34" s="470">
        <f t="shared" ref="KF34" si="436">SUM(KF32:KF33)</f>
        <v>0</v>
      </c>
      <c r="KG34" s="679">
        <f t="shared" si="434"/>
        <v>0</v>
      </c>
      <c r="KH34" s="470">
        <f>SUM(KH32:KH33)</f>
        <v>0</v>
      </c>
      <c r="KI34" s="710">
        <f>SUM(KI32:KI33)</f>
        <v>0</v>
      </c>
      <c r="KJ34" s="603">
        <f t="shared" ref="KJ34:KL34" si="437">SUM(KJ32:KJ33)</f>
        <v>0</v>
      </c>
      <c r="KK34" s="470">
        <f t="shared" si="437"/>
        <v>0</v>
      </c>
      <c r="KL34" s="679">
        <f t="shared" si="437"/>
        <v>0</v>
      </c>
      <c r="KM34" s="470">
        <f>SUM(KM32:KM33)</f>
        <v>0</v>
      </c>
      <c r="KN34" s="710">
        <f>SUM(KN32:KN33)</f>
        <v>0</v>
      </c>
      <c r="KO34" s="513">
        <f t="shared" ref="KO34:LA34" si="438">SUM(KO32:KO33)</f>
        <v>0</v>
      </c>
      <c r="KP34" s="467">
        <f>SUM(KP32:KP33)</f>
        <v>0</v>
      </c>
      <c r="KQ34" s="769">
        <f t="shared" si="438"/>
        <v>0</v>
      </c>
      <c r="KR34" s="597">
        <f>SUM(KR32:KR33)</f>
        <v>0</v>
      </c>
      <c r="KS34" s="345">
        <f t="shared" ref="KS34" si="439">SUM(KS32:KS33)</f>
        <v>0</v>
      </c>
      <c r="KT34" s="467">
        <f t="shared" si="438"/>
        <v>0</v>
      </c>
      <c r="KU34" s="679">
        <f t="shared" si="438"/>
        <v>0</v>
      </c>
      <c r="KV34" s="467">
        <f t="shared" ref="KV34" si="440">SUM(KV32:KV33)</f>
        <v>0</v>
      </c>
      <c r="KW34" s="569">
        <f t="shared" si="438"/>
        <v>0</v>
      </c>
      <c r="KX34" s="467">
        <f t="shared" ref="KX34" si="441">SUM(KX32:KX33)</f>
        <v>0</v>
      </c>
      <c r="KY34" s="473">
        <f t="shared" si="438"/>
        <v>0</v>
      </c>
      <c r="KZ34" s="659"/>
      <c r="LA34" s="447">
        <f t="shared" si="438"/>
        <v>325675092.99000001</v>
      </c>
      <c r="LB34" s="763">
        <f t="shared" ref="LB34:LP34" si="442">SUM(LB32:LB33)</f>
        <v>10775189.469999989</v>
      </c>
      <c r="LC34" s="677">
        <f t="shared" si="442"/>
        <v>204728600</v>
      </c>
      <c r="LD34" s="647">
        <f t="shared" si="442"/>
        <v>110171303.52</v>
      </c>
      <c r="LE34" s="447">
        <f t="shared" ref="LE34" si="443">SUM(LE32:LE33)</f>
        <v>210369914.90000001</v>
      </c>
      <c r="LF34" s="763">
        <f t="shared" si="442"/>
        <v>8340458.3200000003</v>
      </c>
      <c r="LG34" s="677">
        <f t="shared" si="442"/>
        <v>158468708.38</v>
      </c>
      <c r="LH34" s="647">
        <f t="shared" si="442"/>
        <v>43560748.200000003</v>
      </c>
      <c r="LI34" s="447">
        <f t="shared" si="442"/>
        <v>0</v>
      </c>
      <c r="LJ34" s="657">
        <f t="shared" si="442"/>
        <v>0</v>
      </c>
      <c r="LK34" s="769">
        <f t="shared" si="442"/>
        <v>0</v>
      </c>
      <c r="LL34" s="647">
        <f t="shared" si="442"/>
        <v>0</v>
      </c>
      <c r="LM34" s="609">
        <f t="shared" si="442"/>
        <v>0</v>
      </c>
      <c r="LN34" s="657">
        <f t="shared" si="442"/>
        <v>0</v>
      </c>
      <c r="LO34" s="777">
        <f t="shared" si="442"/>
        <v>0</v>
      </c>
      <c r="LP34" s="647">
        <f t="shared" si="442"/>
        <v>0</v>
      </c>
      <c r="LQ34" s="574">
        <f t="shared" ref="LQ34:MF34" si="444">SUM(LQ32:LQ33)</f>
        <v>0</v>
      </c>
      <c r="LR34" s="763">
        <f t="shared" si="444"/>
        <v>0</v>
      </c>
      <c r="LS34" s="679">
        <f t="shared" si="444"/>
        <v>0</v>
      </c>
      <c r="LT34" s="647">
        <f t="shared" ref="LT34" si="445">SUM(LT32:LT33)</f>
        <v>0</v>
      </c>
      <c r="LU34" s="574">
        <f t="shared" si="444"/>
        <v>0</v>
      </c>
      <c r="LV34" s="763">
        <f t="shared" si="444"/>
        <v>0</v>
      </c>
      <c r="LW34" s="679">
        <f t="shared" si="444"/>
        <v>0</v>
      </c>
      <c r="LX34" s="647">
        <f t="shared" ref="LX34" si="446">SUM(LX32:LX33)</f>
        <v>0</v>
      </c>
      <c r="LY34" s="761">
        <f t="shared" si="444"/>
        <v>0</v>
      </c>
      <c r="LZ34" s="657">
        <f t="shared" si="444"/>
        <v>0</v>
      </c>
      <c r="MA34" s="769">
        <f t="shared" si="444"/>
        <v>0</v>
      </c>
      <c r="MB34" s="647">
        <f t="shared" ref="MB34" si="447">SUM(MB32:MB33)</f>
        <v>0</v>
      </c>
      <c r="MC34" s="574">
        <f t="shared" si="444"/>
        <v>0</v>
      </c>
      <c r="MD34" s="763">
        <f t="shared" si="444"/>
        <v>0</v>
      </c>
      <c r="ME34" s="677">
        <f t="shared" si="444"/>
        <v>0</v>
      </c>
      <c r="MF34" s="647">
        <f t="shared" si="444"/>
        <v>0</v>
      </c>
      <c r="MG34" s="345">
        <f t="shared" ref="MG34:MN34" si="448">SUM(MG32:MG33)</f>
        <v>0</v>
      </c>
      <c r="MH34" s="470">
        <f t="shared" si="448"/>
        <v>0</v>
      </c>
      <c r="MI34" s="710">
        <f t="shared" si="448"/>
        <v>0</v>
      </c>
      <c r="MJ34" s="470">
        <f t="shared" ref="MJ34:MK34" si="449">SUM(MJ32:MJ33)</f>
        <v>0</v>
      </c>
      <c r="MK34" s="710">
        <f t="shared" si="449"/>
        <v>0</v>
      </c>
      <c r="ML34" s="345">
        <f t="shared" ref="ML34" si="450">SUM(ML32:ML33)</f>
        <v>0</v>
      </c>
      <c r="MM34" s="470">
        <f t="shared" si="448"/>
        <v>0</v>
      </c>
      <c r="MN34" s="710">
        <f t="shared" si="448"/>
        <v>0</v>
      </c>
      <c r="MO34" s="470">
        <f t="shared" ref="MO34:MP34" si="451">SUM(MO32:MO33)</f>
        <v>0</v>
      </c>
      <c r="MP34" s="710">
        <f t="shared" si="451"/>
        <v>0</v>
      </c>
      <c r="MQ34" s="604">
        <f t="shared" ref="MQ34" si="452">SUM(MQ32:MQ33)</f>
        <v>0</v>
      </c>
      <c r="MR34" s="470">
        <f t="shared" ref="MR34:MX34" si="453">SUM(MR32:MR33)</f>
        <v>0</v>
      </c>
      <c r="MS34" s="710">
        <f t="shared" si="453"/>
        <v>0</v>
      </c>
      <c r="MT34" s="470">
        <f t="shared" ref="MT34:MV34" si="454">SUM(MT32:MT33)</f>
        <v>0</v>
      </c>
      <c r="MU34" s="710">
        <f t="shared" si="454"/>
        <v>0</v>
      </c>
      <c r="MV34" s="604">
        <f t="shared" si="454"/>
        <v>0</v>
      </c>
      <c r="MW34" s="470">
        <f t="shared" si="453"/>
        <v>0</v>
      </c>
      <c r="MX34" s="710">
        <f t="shared" si="453"/>
        <v>0</v>
      </c>
      <c r="MY34" s="470">
        <f t="shared" ref="MY34:NA34" si="455">SUM(MY32:MY33)</f>
        <v>0</v>
      </c>
      <c r="MZ34" s="710">
        <f t="shared" si="455"/>
        <v>0</v>
      </c>
      <c r="NA34" s="604">
        <f t="shared" si="455"/>
        <v>0</v>
      </c>
      <c r="NB34" s="470">
        <f t="shared" ref="NB34:NF34" si="456">SUM(NB32:NB33)</f>
        <v>0</v>
      </c>
      <c r="NC34" s="710">
        <f t="shared" si="456"/>
        <v>0</v>
      </c>
      <c r="ND34" s="470">
        <f t="shared" si="456"/>
        <v>0</v>
      </c>
      <c r="NE34" s="710">
        <f t="shared" si="456"/>
        <v>0</v>
      </c>
      <c r="NF34" s="604">
        <f t="shared" si="456"/>
        <v>0</v>
      </c>
      <c r="NG34" s="470">
        <f t="shared" ref="NG34:NJ34" si="457">SUM(NG32:NG33)</f>
        <v>0</v>
      </c>
      <c r="NH34" s="710">
        <f t="shared" si="457"/>
        <v>0</v>
      </c>
      <c r="NI34" s="470">
        <f t="shared" si="457"/>
        <v>0</v>
      </c>
      <c r="NJ34" s="710">
        <f t="shared" si="457"/>
        <v>0</v>
      </c>
      <c r="NK34" s="473">
        <f t="shared" ref="NK34:NQ34" si="458">SUM(NK32:NK33)</f>
        <v>143730436.94999999</v>
      </c>
      <c r="NL34" s="470">
        <f t="shared" si="458"/>
        <v>5891036.9499999881</v>
      </c>
      <c r="NM34" s="769">
        <f t="shared" si="458"/>
        <v>137839400</v>
      </c>
      <c r="NN34" s="447">
        <f t="shared" si="458"/>
        <v>58528754.009999998</v>
      </c>
      <c r="NO34" s="608">
        <f t="shared" si="458"/>
        <v>1630952.8099999949</v>
      </c>
      <c r="NP34" s="679">
        <f t="shared" si="458"/>
        <v>56897801.200000003</v>
      </c>
      <c r="NQ34" s="569">
        <f t="shared" si="458"/>
        <v>0</v>
      </c>
      <c r="NR34" s="467">
        <f t="shared" ref="NR34:NW34" si="459">SUM(NR32:NR33)</f>
        <v>0</v>
      </c>
      <c r="NS34" s="777">
        <f t="shared" si="459"/>
        <v>0</v>
      </c>
      <c r="NT34" s="467">
        <f t="shared" si="459"/>
        <v>0</v>
      </c>
      <c r="NU34" s="677">
        <f t="shared" si="459"/>
        <v>0</v>
      </c>
      <c r="NV34" s="470">
        <f t="shared" si="459"/>
        <v>0</v>
      </c>
      <c r="NW34" s="710">
        <f t="shared" si="459"/>
        <v>0</v>
      </c>
      <c r="NX34" s="569">
        <f t="shared" ref="NX34" si="460">SUM(NX32:NX33)</f>
        <v>0</v>
      </c>
      <c r="NY34" s="606">
        <f t="shared" ref="NY34:OD34" si="461">SUM(NY32:NY33)</f>
        <v>0</v>
      </c>
      <c r="NZ34" s="679">
        <f t="shared" si="461"/>
        <v>0</v>
      </c>
      <c r="OA34" s="606">
        <f t="shared" si="461"/>
        <v>0</v>
      </c>
      <c r="OB34" s="679">
        <f t="shared" si="461"/>
        <v>0</v>
      </c>
      <c r="OC34" s="470">
        <f t="shared" si="461"/>
        <v>0</v>
      </c>
      <c r="OD34" s="679">
        <f t="shared" si="461"/>
        <v>0</v>
      </c>
      <c r="OE34" s="569">
        <f t="shared" ref="OE34" si="462">SUM(OE32:OE33)</f>
        <v>0</v>
      </c>
      <c r="OF34" s="470">
        <f>SUM(OF32:OF33)</f>
        <v>0</v>
      </c>
      <c r="OG34" s="710">
        <f>SUM(OG32:OG33)</f>
        <v>0</v>
      </c>
      <c r="OH34" s="608">
        <f t="shared" ref="OH34:OI34" si="463">SUM(OH32:OH33)</f>
        <v>0</v>
      </c>
      <c r="OI34" s="677">
        <f t="shared" si="463"/>
        <v>0</v>
      </c>
      <c r="OJ34" s="470">
        <f>SUM(OJ32:OJ33)</f>
        <v>0</v>
      </c>
      <c r="OK34" s="710">
        <f>SUM(OK32:OK33)</f>
        <v>0</v>
      </c>
      <c r="OL34" s="569">
        <f t="shared" ref="OL34" si="464">SUM(OL32:OL33)</f>
        <v>0</v>
      </c>
      <c r="OM34" s="470">
        <f>SUM(OM32:OM33)</f>
        <v>0</v>
      </c>
      <c r="ON34" s="710">
        <f>SUM(ON32:ON33)</f>
        <v>0</v>
      </c>
      <c r="OO34" s="606">
        <f t="shared" ref="OO34:OP34" si="465">SUM(OO32:OO33)</f>
        <v>0</v>
      </c>
      <c r="OP34" s="679">
        <f t="shared" si="465"/>
        <v>0</v>
      </c>
      <c r="OQ34" s="470">
        <f>SUM(OQ32:OQ33)</f>
        <v>0</v>
      </c>
      <c r="OR34" s="710">
        <f>SUM(OR32:OR33)</f>
        <v>0</v>
      </c>
      <c r="OS34" s="867">
        <f t="shared" ref="OS34" si="466">SUM(OS32:OS33)</f>
        <v>0</v>
      </c>
      <c r="OT34" s="470">
        <f>SUM(OT32:OT33)</f>
        <v>0</v>
      </c>
      <c r="OU34" s="710">
        <f>SUM(OU32:OU33)</f>
        <v>0</v>
      </c>
      <c r="OV34" s="470">
        <f t="shared" ref="OV34:OW34" si="467">SUM(OV32:OV33)</f>
        <v>0</v>
      </c>
      <c r="OW34" s="710">
        <f t="shared" si="467"/>
        <v>0</v>
      </c>
      <c r="OX34" s="470">
        <f>SUM(OX32:OX33)</f>
        <v>0</v>
      </c>
      <c r="OY34" s="710">
        <f>SUM(OY32:OY33)</f>
        <v>0</v>
      </c>
      <c r="OZ34" s="867">
        <f t="shared" ref="OZ34" si="468">SUM(OZ32:OZ33)</f>
        <v>0</v>
      </c>
      <c r="PA34" s="470">
        <f>SUM(PA32:PA33)</f>
        <v>0</v>
      </c>
      <c r="PB34" s="710">
        <f>SUM(PB32:PB33)</f>
        <v>0</v>
      </c>
      <c r="PC34" s="470">
        <f t="shared" ref="PC34:PD34" si="469">SUM(PC32:PC33)</f>
        <v>0</v>
      </c>
      <c r="PD34" s="710">
        <f t="shared" si="469"/>
        <v>0</v>
      </c>
      <c r="PE34" s="470">
        <f t="shared" ref="PE34:PG34" si="470">SUM(PE32:PE33)</f>
        <v>0</v>
      </c>
      <c r="PF34" s="710">
        <f t="shared" si="470"/>
        <v>0</v>
      </c>
      <c r="PG34" s="867">
        <f t="shared" si="470"/>
        <v>0</v>
      </c>
      <c r="PH34" s="470">
        <f t="shared" ref="PH34:PM34" si="471">SUM(PH32:PH33)</f>
        <v>0</v>
      </c>
      <c r="PI34" s="710">
        <f t="shared" si="471"/>
        <v>0</v>
      </c>
      <c r="PJ34" s="659">
        <f t="shared" si="471"/>
        <v>0</v>
      </c>
      <c r="PK34" s="677">
        <f t="shared" si="471"/>
        <v>0</v>
      </c>
      <c r="PL34" s="608">
        <f t="shared" si="471"/>
        <v>0</v>
      </c>
      <c r="PM34" s="677">
        <f t="shared" si="471"/>
        <v>0</v>
      </c>
      <c r="PN34" s="867">
        <f t="shared" ref="PN34" si="472">SUM(PN32:PN33)</f>
        <v>0</v>
      </c>
      <c r="PO34" s="470">
        <f>SUM(PO32:PO33)</f>
        <v>0</v>
      </c>
      <c r="PP34" s="710">
        <f>SUM(PP32:PP33)</f>
        <v>0</v>
      </c>
      <c r="PQ34" s="606">
        <f t="shared" ref="PQ34:PR34" si="473">SUM(PQ32:PQ33)</f>
        <v>0</v>
      </c>
      <c r="PR34" s="679">
        <f t="shared" si="473"/>
        <v>0</v>
      </c>
      <c r="PS34" s="470">
        <f>SUM(PS32:PS33)</f>
        <v>0</v>
      </c>
      <c r="PT34" s="710">
        <f>SUM(PT32:PT33)</f>
        <v>0</v>
      </c>
      <c r="PU34" s="447">
        <f t="shared" ref="PU34" si="474">SUM(PU32:PU33)</f>
        <v>0</v>
      </c>
      <c r="PV34" s="657">
        <f t="shared" ref="PV34:PW34" si="475">SUM(PV32:PV33)</f>
        <v>0</v>
      </c>
      <c r="PW34" s="769">
        <f t="shared" si="475"/>
        <v>0</v>
      </c>
      <c r="PX34" s="447">
        <f t="shared" ref="PX34" si="476">SUM(PX32:PX33)</f>
        <v>0</v>
      </c>
      <c r="PY34" s="657">
        <f t="shared" ref="PY34:PZ34" si="477">SUM(PY32:PY33)</f>
        <v>0</v>
      </c>
      <c r="PZ34" s="679">
        <f t="shared" si="477"/>
        <v>0</v>
      </c>
      <c r="QA34" s="611">
        <f t="shared" ref="QA34" si="478">SUM(QA32:QA33)</f>
        <v>0</v>
      </c>
      <c r="QB34" s="657">
        <f t="shared" ref="QB34:QC34" si="479">SUM(QB32:QB33)</f>
        <v>0</v>
      </c>
      <c r="QC34" s="769">
        <f t="shared" si="479"/>
        <v>0</v>
      </c>
      <c r="QD34" s="447">
        <f t="shared" ref="QD34" si="480">SUM(QD32:QD33)</f>
        <v>0</v>
      </c>
      <c r="QE34" s="657">
        <f t="shared" ref="QE34:QF34" si="481">SUM(QE32:QE33)</f>
        <v>0</v>
      </c>
      <c r="QF34" s="679">
        <f t="shared" si="481"/>
        <v>0</v>
      </c>
      <c r="QG34" s="595">
        <f t="shared" ref="QG34" si="482">SUM(QG32:QG33)</f>
        <v>0</v>
      </c>
      <c r="QH34" s="657">
        <f t="shared" ref="QH34:QI34" si="483">SUM(QH32:QH33)</f>
        <v>0</v>
      </c>
      <c r="QI34" s="769">
        <f t="shared" si="483"/>
        <v>0</v>
      </c>
      <c r="QJ34" s="595">
        <f t="shared" ref="QJ34" si="484">SUM(QJ32:QJ33)</f>
        <v>0</v>
      </c>
      <c r="QK34" s="657">
        <f t="shared" ref="QK34:QL34" si="485">SUM(QK32:QK33)</f>
        <v>0</v>
      </c>
      <c r="QL34" s="769">
        <f t="shared" si="485"/>
        <v>0</v>
      </c>
      <c r="QM34" s="595">
        <f t="shared" ref="QM34" si="486">SUM(QM32:QM33)</f>
        <v>0</v>
      </c>
      <c r="QN34" s="657">
        <f t="shared" ref="QN34:QO34" si="487">SUM(QN32:QN33)</f>
        <v>0</v>
      </c>
      <c r="QO34" s="777">
        <f t="shared" si="487"/>
        <v>0</v>
      </c>
      <c r="QP34" s="595">
        <f t="shared" ref="QP34" si="488">SUM(QP32:QP33)</f>
        <v>0</v>
      </c>
      <c r="QQ34" s="657">
        <f t="shared" ref="QQ34:QR34" si="489">SUM(QQ32:QQ33)</f>
        <v>0</v>
      </c>
      <c r="QR34" s="778">
        <f t="shared" si="489"/>
        <v>0</v>
      </c>
      <c r="QS34" s="447">
        <f t="shared" ref="QS34:RN34" si="490">SUM(QS32:QS33)</f>
        <v>349438548.34000003</v>
      </c>
      <c r="QT34" s="447">
        <f t="shared" si="490"/>
        <v>201487403.02000001</v>
      </c>
      <c r="QU34" s="447">
        <f t="shared" si="490"/>
        <v>0</v>
      </c>
      <c r="QV34" s="447">
        <f t="shared" si="490"/>
        <v>0</v>
      </c>
      <c r="QW34" s="605">
        <f t="shared" si="490"/>
        <v>0</v>
      </c>
      <c r="QX34" s="603">
        <f t="shared" si="490"/>
        <v>0</v>
      </c>
      <c r="QY34" s="605">
        <f t="shared" si="490"/>
        <v>0</v>
      </c>
      <c r="QZ34" s="603">
        <f t="shared" si="490"/>
        <v>0</v>
      </c>
      <c r="RA34" s="447">
        <f t="shared" si="490"/>
        <v>6069406456.4899988</v>
      </c>
      <c r="RB34" s="607">
        <f t="shared" ref="RB34:RC34" si="491">SUM(RB32:RB33)</f>
        <v>5835896405.3799992</v>
      </c>
      <c r="RC34" s="467">
        <f t="shared" si="491"/>
        <v>233510051.11000001</v>
      </c>
      <c r="RD34" s="447">
        <f t="shared" si="490"/>
        <v>4420172679.6499996</v>
      </c>
      <c r="RE34" s="607">
        <f t="shared" si="490"/>
        <v>4294063647.3800001</v>
      </c>
      <c r="RF34" s="467">
        <f t="shared" si="490"/>
        <v>126109032.27</v>
      </c>
      <c r="RG34" s="447">
        <f t="shared" si="490"/>
        <v>5538215445.2099991</v>
      </c>
      <c r="RH34" s="473">
        <f t="shared" si="490"/>
        <v>4092563424.3600001</v>
      </c>
      <c r="RI34" s="473">
        <f t="shared" si="490"/>
        <v>111326589</v>
      </c>
      <c r="RJ34" s="447">
        <f t="shared" si="490"/>
        <v>87000000</v>
      </c>
      <c r="RK34" s="473">
        <f t="shared" si="490"/>
        <v>99172417.410000011</v>
      </c>
      <c r="RL34" s="447">
        <f t="shared" si="490"/>
        <v>63218225</v>
      </c>
      <c r="RM34" s="611">
        <f t="shared" si="490"/>
        <v>0</v>
      </c>
      <c r="RN34" s="447">
        <f t="shared" si="490"/>
        <v>0</v>
      </c>
      <c r="RO34" s="609">
        <f t="shared" ref="RO34:TB34" si="492">SUM(RO32:RO33)</f>
        <v>90600</v>
      </c>
      <c r="RP34" s="447">
        <f t="shared" si="492"/>
        <v>41368</v>
      </c>
      <c r="RQ34" s="609">
        <f t="shared" si="492"/>
        <v>1611620</v>
      </c>
      <c r="RR34" s="447">
        <f t="shared" si="492"/>
        <v>0</v>
      </c>
      <c r="RS34" s="513">
        <f t="shared" si="492"/>
        <v>6758347</v>
      </c>
      <c r="RT34" s="447">
        <f t="shared" si="492"/>
        <v>5631424</v>
      </c>
      <c r="RU34" s="513">
        <f t="shared" si="492"/>
        <v>7495385</v>
      </c>
      <c r="RV34" s="447">
        <f t="shared" si="492"/>
        <v>6335354</v>
      </c>
      <c r="RW34" s="569">
        <f t="shared" si="492"/>
        <v>264791744.97999999</v>
      </c>
      <c r="RX34" s="647">
        <f>SUM(RX32:RX33)</f>
        <v>74141688.760000005</v>
      </c>
      <c r="RY34" s="769">
        <f>SUM(RY32:RY33)</f>
        <v>190650056.22</v>
      </c>
      <c r="RZ34" s="569">
        <f t="shared" ref="RZ34" si="493">SUM(RZ32:RZ33)</f>
        <v>142282135.56</v>
      </c>
      <c r="SA34" s="647">
        <f>SUM(SA32:SA33)</f>
        <v>39838998.019999996</v>
      </c>
      <c r="SB34" s="769">
        <f>SUM(SB32:SB33)</f>
        <v>102443137.53999999</v>
      </c>
      <c r="SC34" s="345">
        <f t="shared" ref="SC34:SD34" si="494">SUM(SC32:SC33)</f>
        <v>9379042.8899999987</v>
      </c>
      <c r="SD34" s="447">
        <f t="shared" si="494"/>
        <v>0</v>
      </c>
      <c r="SE34" s="473">
        <f t="shared" si="492"/>
        <v>30565265</v>
      </c>
      <c r="SF34" s="467">
        <f t="shared" si="492"/>
        <v>13040264.999999998</v>
      </c>
      <c r="SG34" s="1567">
        <f t="shared" si="492"/>
        <v>17525000</v>
      </c>
      <c r="SH34" s="447">
        <f t="shared" si="492"/>
        <v>23100748.73</v>
      </c>
      <c r="SI34" s="657">
        <f t="shared" si="492"/>
        <v>11443000</v>
      </c>
      <c r="SJ34" s="778">
        <f t="shared" si="492"/>
        <v>11657748.73</v>
      </c>
      <c r="SK34" s="565">
        <f t="shared" si="492"/>
        <v>992389931.34000003</v>
      </c>
      <c r="SL34" s="551">
        <f t="shared" si="492"/>
        <v>893040333.69999993</v>
      </c>
      <c r="SM34" s="473">
        <f t="shared" si="492"/>
        <v>204361920</v>
      </c>
      <c r="SN34" s="467">
        <f t="shared" si="492"/>
        <v>0</v>
      </c>
      <c r="SO34" s="777">
        <f t="shared" si="492"/>
        <v>204361920</v>
      </c>
      <c r="SP34" s="447">
        <f t="shared" si="492"/>
        <v>150563064.25999999</v>
      </c>
      <c r="SQ34" s="467">
        <f t="shared" si="492"/>
        <v>0</v>
      </c>
      <c r="SR34" s="777">
        <f t="shared" si="492"/>
        <v>150563064.25999999</v>
      </c>
      <c r="SS34" s="447">
        <f t="shared" si="492"/>
        <v>0</v>
      </c>
      <c r="ST34" s="777">
        <f t="shared" ref="ST34:SW34" si="495">SUM(ST32:ST33)</f>
        <v>0</v>
      </c>
      <c r="SU34" s="677">
        <f t="shared" ref="SU34" si="496">SUM(SU32:SU33)</f>
        <v>0</v>
      </c>
      <c r="SV34" s="447">
        <f t="shared" si="495"/>
        <v>0</v>
      </c>
      <c r="SW34" s="677">
        <f t="shared" si="495"/>
        <v>0</v>
      </c>
      <c r="SX34" s="677">
        <f t="shared" ref="SX34" si="497">SUM(SX32:SX33)</f>
        <v>0</v>
      </c>
      <c r="SY34" s="567">
        <f t="shared" si="492"/>
        <v>506290000</v>
      </c>
      <c r="SZ34" s="677">
        <f t="shared" si="492"/>
        <v>506290000</v>
      </c>
      <c r="TA34" s="567">
        <f t="shared" si="492"/>
        <v>506290000</v>
      </c>
      <c r="TB34" s="677">
        <f t="shared" si="492"/>
        <v>506290000</v>
      </c>
      <c r="TC34" s="567">
        <f t="shared" ref="TC34:VG34" si="498">SUM(TC32:TC33)</f>
        <v>0</v>
      </c>
      <c r="TD34" s="677">
        <f t="shared" si="498"/>
        <v>0</v>
      </c>
      <c r="TE34" s="567">
        <f t="shared" si="498"/>
        <v>0</v>
      </c>
      <c r="TF34" s="677">
        <f t="shared" si="498"/>
        <v>0</v>
      </c>
      <c r="TG34" s="568">
        <f t="shared" si="498"/>
        <v>0</v>
      </c>
      <c r="TH34" s="568">
        <f t="shared" si="498"/>
        <v>0</v>
      </c>
      <c r="TI34" s="568">
        <f t="shared" si="498"/>
        <v>0</v>
      </c>
      <c r="TJ34" s="568">
        <f t="shared" si="498"/>
        <v>0</v>
      </c>
      <c r="TK34" s="567">
        <f t="shared" si="498"/>
        <v>0</v>
      </c>
      <c r="TL34" s="566">
        <f t="shared" si="498"/>
        <v>0</v>
      </c>
      <c r="TM34" s="882">
        <f t="shared" si="498"/>
        <v>0</v>
      </c>
      <c r="TN34" s="567">
        <f t="shared" si="498"/>
        <v>0</v>
      </c>
      <c r="TO34" s="566">
        <f t="shared" si="498"/>
        <v>0</v>
      </c>
      <c r="TP34" s="882">
        <f t="shared" si="498"/>
        <v>0</v>
      </c>
      <c r="TQ34" s="567">
        <f t="shared" si="498"/>
        <v>0</v>
      </c>
      <c r="TR34" s="566">
        <f t="shared" si="498"/>
        <v>0</v>
      </c>
      <c r="TS34" s="882">
        <f t="shared" si="498"/>
        <v>0</v>
      </c>
      <c r="TT34" s="551">
        <f t="shared" si="498"/>
        <v>0</v>
      </c>
      <c r="TU34" s="566">
        <f t="shared" si="498"/>
        <v>0</v>
      </c>
      <c r="TV34" s="882">
        <f t="shared" si="498"/>
        <v>0</v>
      </c>
      <c r="TW34" s="894">
        <f t="shared" si="498"/>
        <v>0</v>
      </c>
      <c r="TX34" s="894">
        <f t="shared" si="498"/>
        <v>0</v>
      </c>
      <c r="TY34" s="894">
        <f t="shared" si="498"/>
        <v>0</v>
      </c>
      <c r="TZ34" s="894">
        <f t="shared" si="498"/>
        <v>0</v>
      </c>
      <c r="UA34" s="345">
        <f t="shared" ref="UA34:UG34" si="499">SUM(UA32:UA33)</f>
        <v>0</v>
      </c>
      <c r="UB34" s="647">
        <f t="shared" si="499"/>
        <v>0</v>
      </c>
      <c r="UC34" s="679">
        <f t="shared" si="499"/>
        <v>0</v>
      </c>
      <c r="UD34" s="345">
        <f t="shared" si="499"/>
        <v>0</v>
      </c>
      <c r="UE34" s="647">
        <f t="shared" si="499"/>
        <v>0</v>
      </c>
      <c r="UF34" s="679">
        <f t="shared" si="499"/>
        <v>0</v>
      </c>
      <c r="UG34" s="345">
        <f t="shared" si="499"/>
        <v>0</v>
      </c>
      <c r="UH34" s="647">
        <f t="shared" ref="UH34:UM34" si="500">SUM(UH32:UH33)</f>
        <v>0</v>
      </c>
      <c r="UI34" s="679">
        <f t="shared" si="500"/>
        <v>0</v>
      </c>
      <c r="UJ34" s="679">
        <f t="shared" ref="UJ34" si="501">SUM(UJ32:UJ33)</f>
        <v>0</v>
      </c>
      <c r="UK34" s="345">
        <f t="shared" si="500"/>
        <v>0</v>
      </c>
      <c r="UL34" s="647">
        <f t="shared" si="500"/>
        <v>0</v>
      </c>
      <c r="UM34" s="679">
        <f t="shared" si="500"/>
        <v>0</v>
      </c>
      <c r="UN34" s="679">
        <f t="shared" ref="UN34" si="502">SUM(UN32:UN33)</f>
        <v>0</v>
      </c>
      <c r="UO34" s="567">
        <f t="shared" si="498"/>
        <v>281738011.34000003</v>
      </c>
      <c r="UP34" s="566">
        <f>SUM(UP32:UP33)</f>
        <v>0</v>
      </c>
      <c r="UQ34" s="882">
        <f>SUM(UQ32:UQ33)</f>
        <v>0</v>
      </c>
      <c r="UR34" s="566">
        <f t="shared" si="498"/>
        <v>47658400</v>
      </c>
      <c r="US34" s="566">
        <f t="shared" si="498"/>
        <v>0</v>
      </c>
      <c r="UT34" s="566">
        <f>SUM(UT32:UT33)</f>
        <v>217000000</v>
      </c>
      <c r="UU34" s="566">
        <f t="shared" ref="UU34:UV34" si="503">SUM(UU32:UU33)</f>
        <v>17079611.34</v>
      </c>
      <c r="UV34" s="567">
        <f t="shared" si="503"/>
        <v>236187269.44</v>
      </c>
      <c r="UW34" s="566">
        <f>SUM(UW32:UW33)</f>
        <v>0</v>
      </c>
      <c r="UX34" s="882">
        <f>SUM(UX32:UX33)</f>
        <v>0</v>
      </c>
      <c r="UY34" s="1107">
        <f t="shared" si="498"/>
        <v>2107658.1</v>
      </c>
      <c r="UZ34" s="1107">
        <f t="shared" si="498"/>
        <v>0</v>
      </c>
      <c r="VA34" s="566">
        <f t="shared" ref="VA34" si="504">SUM(VA32:VA33)</f>
        <v>217000000</v>
      </c>
      <c r="VB34" s="1107">
        <f t="shared" ref="VB34" si="505">SUM(VB32:VB33)</f>
        <v>17079611.34</v>
      </c>
      <c r="VC34" s="567">
        <f t="shared" ref="VC34" si="506">SUM(VC32:VC33)</f>
        <v>0</v>
      </c>
      <c r="VD34" s="566">
        <f t="shared" si="498"/>
        <v>0</v>
      </c>
      <c r="VE34" s="566">
        <f t="shared" ref="VE34" si="507">SUM(VE32:VE33)</f>
        <v>0</v>
      </c>
      <c r="VF34" s="567">
        <f t="shared" si="498"/>
        <v>0</v>
      </c>
      <c r="VG34" s="566">
        <f t="shared" si="498"/>
        <v>0</v>
      </c>
      <c r="VH34" s="566">
        <f t="shared" ref="VH34" si="508">SUM(VH32:VH33)</f>
        <v>0</v>
      </c>
      <c r="VI34" s="892">
        <f t="shared" ref="VI34" si="509">SUM(VI32:VI33)</f>
        <v>0</v>
      </c>
      <c r="VJ34" s="566">
        <f t="shared" ref="VJ34:WL34" si="510">SUM(VJ32:VJ33)</f>
        <v>0</v>
      </c>
      <c r="VK34" s="566">
        <f t="shared" ref="VK34" si="511">SUM(VK32:VK33)</f>
        <v>0</v>
      </c>
      <c r="VL34" s="892">
        <f t="shared" ref="VL34:VN34" si="512">SUM(VL32:VL33)</f>
        <v>0</v>
      </c>
      <c r="VM34" s="566">
        <f t="shared" si="512"/>
        <v>0</v>
      </c>
      <c r="VN34" s="566">
        <f t="shared" si="512"/>
        <v>0</v>
      </c>
      <c r="VO34" s="892">
        <f t="shared" ref="VO34" si="513">SUM(VO32:VO33)</f>
        <v>0</v>
      </c>
      <c r="VP34" s="566">
        <f t="shared" si="510"/>
        <v>0</v>
      </c>
      <c r="VQ34" s="566"/>
      <c r="VR34" s="892">
        <f t="shared" si="510"/>
        <v>0</v>
      </c>
      <c r="VS34" s="566">
        <f t="shared" si="510"/>
        <v>0</v>
      </c>
      <c r="VT34" s="566">
        <f t="shared" ref="VT34" si="514">SUM(VT32:VT33)</f>
        <v>0</v>
      </c>
      <c r="VU34" s="565">
        <f t="shared" si="510"/>
        <v>1439500000</v>
      </c>
      <c r="VV34" s="567">
        <f t="shared" si="510"/>
        <v>1504000000</v>
      </c>
      <c r="VW34" s="567">
        <f t="shared" si="510"/>
        <v>1504000000</v>
      </c>
      <c r="VX34" s="567">
        <f t="shared" si="510"/>
        <v>1504000000</v>
      </c>
      <c r="VY34" s="567">
        <f t="shared" si="510"/>
        <v>0</v>
      </c>
      <c r="VZ34" s="567">
        <f t="shared" si="510"/>
        <v>0</v>
      </c>
      <c r="WA34" s="568">
        <f t="shared" si="510"/>
        <v>0</v>
      </c>
      <c r="WB34" s="568">
        <f t="shared" si="510"/>
        <v>0</v>
      </c>
      <c r="WC34" s="568">
        <f t="shared" si="510"/>
        <v>0</v>
      </c>
      <c r="WD34" s="568">
        <f t="shared" si="510"/>
        <v>0</v>
      </c>
      <c r="WE34" s="567">
        <f t="shared" si="510"/>
        <v>-64500000</v>
      </c>
      <c r="WF34" s="567">
        <f t="shared" si="510"/>
        <v>0</v>
      </c>
      <c r="WG34" s="567">
        <f t="shared" si="510"/>
        <v>0</v>
      </c>
      <c r="WH34" s="567">
        <f t="shared" si="510"/>
        <v>0</v>
      </c>
      <c r="WI34" s="568">
        <f t="shared" si="510"/>
        <v>0</v>
      </c>
      <c r="WJ34" s="568">
        <f t="shared" si="510"/>
        <v>0</v>
      </c>
      <c r="WK34" s="568">
        <f t="shared" si="510"/>
        <v>0</v>
      </c>
      <c r="WL34" s="568">
        <f t="shared" si="510"/>
        <v>0</v>
      </c>
      <c r="WM34" s="252">
        <f>'Проверочная  таблица'!WE34+'Проверочная  таблица'!WG34</f>
        <v>-64500000</v>
      </c>
      <c r="WN34" s="252">
        <f>'Проверочная  таблица'!WF34+'Проверочная  таблица'!WH34</f>
        <v>0</v>
      </c>
    </row>
    <row r="35" spans="1:612" s="338" customFormat="1" ht="25.5" customHeight="1" x14ac:dyDescent="0.25">
      <c r="A35" s="353"/>
      <c r="B35" s="345"/>
      <c r="C35" s="345"/>
      <c r="D35" s="612"/>
      <c r="E35" s="613"/>
      <c r="F35" s="569"/>
      <c r="G35" s="345"/>
      <c r="H35" s="345"/>
      <c r="I35" s="345"/>
      <c r="J35" s="603"/>
      <c r="K35" s="603"/>
      <c r="L35" s="603"/>
      <c r="M35" s="603"/>
      <c r="N35" s="569"/>
      <c r="O35" s="345"/>
      <c r="P35" s="513"/>
      <c r="Q35" s="345"/>
      <c r="R35" s="605"/>
      <c r="S35" s="603"/>
      <c r="T35" s="605"/>
      <c r="U35" s="603"/>
      <c r="V35" s="345"/>
      <c r="W35" s="345"/>
      <c r="X35" s="629"/>
      <c r="Y35" s="470"/>
      <c r="Z35" s="470"/>
      <c r="AA35" s="345"/>
      <c r="AB35" s="345"/>
      <c r="AC35" s="470"/>
      <c r="AD35" s="470"/>
      <c r="AE35" s="605"/>
      <c r="AF35" s="603"/>
      <c r="AG35" s="605"/>
      <c r="AH35" s="603"/>
      <c r="AI35" s="589"/>
      <c r="AJ35" s="569"/>
      <c r="AK35" s="345"/>
      <c r="AL35" s="469"/>
      <c r="AM35" s="469"/>
      <c r="AN35" s="600"/>
      <c r="AO35" s="469"/>
      <c r="AP35" s="470"/>
      <c r="AQ35" s="569"/>
      <c r="AR35" s="470"/>
      <c r="AS35" s="470"/>
      <c r="AT35" s="470"/>
      <c r="AU35" s="606"/>
      <c r="AV35" s="470"/>
      <c r="AW35" s="569"/>
      <c r="AX35" s="470"/>
      <c r="AY35" s="600"/>
      <c r="AZ35" s="606"/>
      <c r="BA35" s="569"/>
      <c r="BB35" s="470"/>
      <c r="BC35" s="470"/>
      <c r="BD35" s="608"/>
      <c r="BE35" s="604"/>
      <c r="BF35" s="608"/>
      <c r="BG35" s="593"/>
      <c r="BH35" s="470"/>
      <c r="BI35" s="867"/>
      <c r="BJ35" s="470"/>
      <c r="BK35" s="600"/>
      <c r="BL35" s="470"/>
      <c r="BM35" s="604"/>
      <c r="BN35" s="608"/>
      <c r="BO35" s="469"/>
      <c r="BP35" s="608"/>
      <c r="BQ35" s="604"/>
      <c r="BR35" s="608"/>
      <c r="BS35" s="470"/>
      <c r="BT35" s="608"/>
      <c r="BU35" s="345"/>
      <c r="BV35" s="470"/>
      <c r="BW35" s="470"/>
      <c r="BX35" s="470"/>
      <c r="BY35" s="470"/>
      <c r="BZ35" s="345"/>
      <c r="CA35" s="606"/>
      <c r="CB35" s="470"/>
      <c r="CC35" s="470"/>
      <c r="CD35" s="470"/>
      <c r="CE35" s="345"/>
      <c r="CF35" s="470"/>
      <c r="CG35" s="470"/>
      <c r="CH35" s="470"/>
      <c r="CI35" s="470"/>
      <c r="CJ35" s="345"/>
      <c r="CK35" s="470"/>
      <c r="CL35" s="608"/>
      <c r="CM35" s="470"/>
      <c r="CN35" s="470"/>
      <c r="CO35" s="603"/>
      <c r="CP35" s="603"/>
      <c r="CQ35" s="603"/>
      <c r="CR35" s="603"/>
      <c r="CS35" s="513"/>
      <c r="CT35" s="471"/>
      <c r="CU35" s="513"/>
      <c r="CV35" s="471"/>
      <c r="CW35" s="605"/>
      <c r="CX35" s="592"/>
      <c r="CY35" s="605"/>
      <c r="CZ35" s="592"/>
      <c r="DA35" s="596"/>
      <c r="DB35" s="471"/>
      <c r="DC35" s="596"/>
      <c r="DD35" s="471"/>
      <c r="DE35" s="614"/>
      <c r="DF35" s="592"/>
      <c r="DG35" s="614"/>
      <c r="DH35" s="592"/>
      <c r="DI35" s="589"/>
      <c r="DJ35" s="470"/>
      <c r="DK35" s="470"/>
      <c r="DL35" s="769"/>
      <c r="DM35" s="471"/>
      <c r="DN35" s="470"/>
      <c r="DO35" s="470"/>
      <c r="DP35" s="679"/>
      <c r="DQ35" s="596"/>
      <c r="DR35" s="647"/>
      <c r="DS35" s="606"/>
      <c r="DT35" s="679"/>
      <c r="DU35" s="608"/>
      <c r="DV35" s="679"/>
      <c r="DW35" s="763"/>
      <c r="DX35" s="471"/>
      <c r="DY35" s="762"/>
      <c r="DZ35" s="606"/>
      <c r="EA35" s="679"/>
      <c r="EB35" s="606"/>
      <c r="EC35" s="679"/>
      <c r="ED35" s="763"/>
      <c r="EE35" s="589"/>
      <c r="EF35" s="470"/>
      <c r="EG35" s="769"/>
      <c r="EH35" s="471"/>
      <c r="EI35" s="608"/>
      <c r="EJ35" s="679"/>
      <c r="EK35" s="569"/>
      <c r="EL35" s="606"/>
      <c r="EM35" s="679"/>
      <c r="EN35" s="608"/>
      <c r="EO35" s="679"/>
      <c r="EP35" s="606"/>
      <c r="EQ35" s="679"/>
      <c r="ER35" s="345"/>
      <c r="ES35" s="606"/>
      <c r="ET35" s="679"/>
      <c r="EU35" s="606"/>
      <c r="EV35" s="679"/>
      <c r="EW35" s="606"/>
      <c r="EX35" s="679"/>
      <c r="EY35" s="589"/>
      <c r="EZ35" s="470"/>
      <c r="FA35" s="679"/>
      <c r="FB35" s="471"/>
      <c r="FC35" s="608"/>
      <c r="FD35" s="679"/>
      <c r="FE35" s="589"/>
      <c r="FF35" s="470"/>
      <c r="FG35" s="769"/>
      <c r="FH35" s="471"/>
      <c r="FI35" s="608"/>
      <c r="FJ35" s="679"/>
      <c r="FK35" s="589"/>
      <c r="FL35" s="470"/>
      <c r="FM35" s="769"/>
      <c r="FN35" s="471"/>
      <c r="FO35" s="608"/>
      <c r="FP35" s="679"/>
      <c r="FQ35" s="589"/>
      <c r="FR35" s="470"/>
      <c r="FS35" s="769"/>
      <c r="FT35" s="471"/>
      <c r="FU35" s="608"/>
      <c r="FV35" s="679"/>
      <c r="FW35" s="589"/>
      <c r="FX35" s="470"/>
      <c r="FY35" s="769"/>
      <c r="FZ35" s="471"/>
      <c r="GA35" s="608"/>
      <c r="GB35" s="679"/>
      <c r="GC35" s="668"/>
      <c r="GD35" s="670"/>
      <c r="GE35" s="668"/>
      <c r="GF35" s="670"/>
      <c r="GG35" s="589"/>
      <c r="GH35" s="470"/>
      <c r="GI35" s="710"/>
      <c r="GJ35" s="589"/>
      <c r="GK35" s="470"/>
      <c r="GL35" s="710"/>
      <c r="GM35" s="589"/>
      <c r="GN35" s="470"/>
      <c r="GO35" s="769"/>
      <c r="GP35" s="471"/>
      <c r="GQ35" s="470"/>
      <c r="GR35" s="710"/>
      <c r="GS35" s="589"/>
      <c r="GT35" s="470"/>
      <c r="GU35" s="769"/>
      <c r="GV35" s="471"/>
      <c r="GW35" s="470"/>
      <c r="GX35" s="710"/>
      <c r="GY35" s="668"/>
      <c r="GZ35" s="470"/>
      <c r="HA35" s="769"/>
      <c r="HB35" s="670"/>
      <c r="HC35" s="470"/>
      <c r="HD35" s="710"/>
      <c r="HE35" s="668"/>
      <c r="HF35" s="470"/>
      <c r="HG35" s="769"/>
      <c r="HH35" s="670"/>
      <c r="HI35" s="470"/>
      <c r="HJ35" s="710"/>
      <c r="HK35" s="589"/>
      <c r="HL35" s="659"/>
      <c r="HM35" s="679"/>
      <c r="HN35" s="471"/>
      <c r="HO35" s="659"/>
      <c r="HP35" s="679"/>
      <c r="HQ35" s="596"/>
      <c r="HR35" s="659"/>
      <c r="HS35" s="679"/>
      <c r="HT35" s="471"/>
      <c r="HU35" s="647"/>
      <c r="HV35" s="679"/>
      <c r="HW35" s="589"/>
      <c r="HX35" s="647"/>
      <c r="HY35" s="679"/>
      <c r="HZ35" s="471"/>
      <c r="IA35" s="647"/>
      <c r="IB35" s="679"/>
      <c r="IC35" s="647"/>
      <c r="ID35" s="679"/>
      <c r="IE35" s="668"/>
      <c r="IF35" s="647"/>
      <c r="IG35" s="679"/>
      <c r="IH35" s="670"/>
      <c r="II35" s="647"/>
      <c r="IJ35" s="679"/>
      <c r="IK35" s="670"/>
      <c r="IL35" s="647"/>
      <c r="IM35" s="679"/>
      <c r="IN35" s="670"/>
      <c r="IO35" s="647"/>
      <c r="IP35" s="679"/>
      <c r="IQ35" s="345"/>
      <c r="IR35" s="470"/>
      <c r="IS35" s="710"/>
      <c r="IT35" s="470"/>
      <c r="IU35" s="710"/>
      <c r="IV35" s="659"/>
      <c r="IW35" s="679"/>
      <c r="IX35" s="629"/>
      <c r="IY35" s="710"/>
      <c r="IZ35" s="647"/>
      <c r="JA35" s="345"/>
      <c r="JB35" s="470"/>
      <c r="JC35" s="710"/>
      <c r="JD35" s="470"/>
      <c r="JE35" s="710"/>
      <c r="JF35" s="659"/>
      <c r="JG35" s="679"/>
      <c r="JH35" s="470"/>
      <c r="JI35" s="710"/>
      <c r="JJ35" s="470"/>
      <c r="JK35" s="511"/>
      <c r="JL35" s="470"/>
      <c r="JM35" s="710"/>
      <c r="JN35" s="470"/>
      <c r="JO35" s="710"/>
      <c r="JP35" s="345"/>
      <c r="JQ35" s="470"/>
      <c r="JR35" s="710"/>
      <c r="JS35" s="470"/>
      <c r="JT35" s="710"/>
      <c r="JU35" s="761"/>
      <c r="JV35" s="470"/>
      <c r="JW35" s="679"/>
      <c r="JX35" s="470"/>
      <c r="JY35" s="710"/>
      <c r="JZ35" s="761"/>
      <c r="KA35" s="470"/>
      <c r="KB35" s="679"/>
      <c r="KC35" s="470"/>
      <c r="KD35" s="710"/>
      <c r="KE35" s="603"/>
      <c r="KF35" s="470"/>
      <c r="KG35" s="679"/>
      <c r="KH35" s="470"/>
      <c r="KI35" s="710"/>
      <c r="KJ35" s="603"/>
      <c r="KK35" s="470"/>
      <c r="KL35" s="679"/>
      <c r="KM35" s="470"/>
      <c r="KN35" s="710"/>
      <c r="KO35" s="511"/>
      <c r="KP35" s="470"/>
      <c r="KQ35" s="679"/>
      <c r="KR35" s="606"/>
      <c r="KS35" s="345"/>
      <c r="KT35" s="606"/>
      <c r="KU35" s="679"/>
      <c r="KV35" s="606"/>
      <c r="KW35" s="345"/>
      <c r="KX35" s="470"/>
      <c r="KY35" s="345"/>
      <c r="KZ35" s="762"/>
      <c r="LA35" s="471"/>
      <c r="LB35" s="647"/>
      <c r="LC35" s="679"/>
      <c r="LD35" s="647"/>
      <c r="LE35" s="471"/>
      <c r="LF35" s="647"/>
      <c r="LG35" s="679"/>
      <c r="LH35" s="647"/>
      <c r="LI35" s="471"/>
      <c r="LJ35" s="647"/>
      <c r="LK35" s="679"/>
      <c r="LL35" s="647"/>
      <c r="LM35" s="511"/>
      <c r="LN35" s="647"/>
      <c r="LO35" s="679"/>
      <c r="LP35" s="647"/>
      <c r="LQ35" s="761"/>
      <c r="LR35" s="659"/>
      <c r="LS35" s="679"/>
      <c r="LT35" s="647"/>
      <c r="LU35" s="603"/>
      <c r="LV35" s="763"/>
      <c r="LW35" s="679"/>
      <c r="LX35" s="647"/>
      <c r="LY35" s="603"/>
      <c r="LZ35" s="659"/>
      <c r="MA35" s="776"/>
      <c r="MB35" s="647"/>
      <c r="MC35" s="603"/>
      <c r="MD35" s="647"/>
      <c r="ME35" s="679"/>
      <c r="MF35" s="647"/>
      <c r="MG35" s="345"/>
      <c r="MH35" s="470"/>
      <c r="MI35" s="710"/>
      <c r="MJ35" s="470"/>
      <c r="MK35" s="710"/>
      <c r="ML35" s="345"/>
      <c r="MM35" s="470"/>
      <c r="MN35" s="710"/>
      <c r="MO35" s="470"/>
      <c r="MP35" s="710"/>
      <c r="MQ35" s="604"/>
      <c r="MR35" s="470"/>
      <c r="MS35" s="710"/>
      <c r="MT35" s="470"/>
      <c r="MU35" s="710"/>
      <c r="MV35" s="604"/>
      <c r="MW35" s="470"/>
      <c r="MX35" s="710"/>
      <c r="MY35" s="470"/>
      <c r="MZ35" s="710"/>
      <c r="NA35" s="604"/>
      <c r="NB35" s="470"/>
      <c r="NC35" s="710"/>
      <c r="ND35" s="470"/>
      <c r="NE35" s="710"/>
      <c r="NF35" s="604"/>
      <c r="NG35" s="470"/>
      <c r="NH35" s="710"/>
      <c r="NI35" s="470"/>
      <c r="NJ35" s="710"/>
      <c r="NK35" s="589"/>
      <c r="NL35" s="470"/>
      <c r="NM35" s="769"/>
      <c r="NN35" s="471"/>
      <c r="NO35" s="608"/>
      <c r="NP35" s="679"/>
      <c r="NQ35" s="345"/>
      <c r="NR35" s="469"/>
      <c r="NS35" s="767"/>
      <c r="NT35" s="469"/>
      <c r="NU35" s="684"/>
      <c r="NV35" s="470"/>
      <c r="NW35" s="710"/>
      <c r="NX35" s="345"/>
      <c r="NY35" s="606"/>
      <c r="NZ35" s="679"/>
      <c r="OA35" s="606"/>
      <c r="OB35" s="679"/>
      <c r="OC35" s="470"/>
      <c r="OD35" s="679"/>
      <c r="OE35" s="345"/>
      <c r="OF35" s="470"/>
      <c r="OG35" s="710"/>
      <c r="OH35" s="606"/>
      <c r="OI35" s="679"/>
      <c r="OJ35" s="470"/>
      <c r="OK35" s="710"/>
      <c r="OL35" s="345"/>
      <c r="OM35" s="470"/>
      <c r="ON35" s="710"/>
      <c r="OO35" s="606"/>
      <c r="OP35" s="679"/>
      <c r="OQ35" s="470"/>
      <c r="OR35" s="710"/>
      <c r="OS35" s="604"/>
      <c r="OT35" s="470"/>
      <c r="OU35" s="710"/>
      <c r="OV35" s="470"/>
      <c r="OW35" s="710"/>
      <c r="OX35" s="470"/>
      <c r="OY35" s="710"/>
      <c r="OZ35" s="604"/>
      <c r="PA35" s="470"/>
      <c r="PB35" s="710"/>
      <c r="PC35" s="470"/>
      <c r="PD35" s="710"/>
      <c r="PE35" s="470"/>
      <c r="PF35" s="710"/>
      <c r="PG35" s="604"/>
      <c r="PH35" s="470"/>
      <c r="PI35" s="710"/>
      <c r="PJ35" s="647"/>
      <c r="PK35" s="769"/>
      <c r="PL35" s="470"/>
      <c r="PM35" s="710"/>
      <c r="PN35" s="604"/>
      <c r="PO35" s="470"/>
      <c r="PP35" s="710"/>
      <c r="PQ35" s="606"/>
      <c r="PR35" s="679"/>
      <c r="PS35" s="470"/>
      <c r="PT35" s="710"/>
      <c r="PU35" s="471"/>
      <c r="PV35" s="647"/>
      <c r="PW35" s="679"/>
      <c r="PX35" s="471"/>
      <c r="PY35" s="647"/>
      <c r="PZ35" s="679"/>
      <c r="QA35" s="1578"/>
      <c r="QB35" s="647"/>
      <c r="QC35" s="679"/>
      <c r="QD35" s="471"/>
      <c r="QE35" s="647"/>
      <c r="QF35" s="679"/>
      <c r="QG35" s="670"/>
      <c r="QH35" s="647"/>
      <c r="QI35" s="679"/>
      <c r="QJ35" s="670"/>
      <c r="QK35" s="647"/>
      <c r="QL35" s="679"/>
      <c r="QM35" s="670"/>
      <c r="QN35" s="647"/>
      <c r="QO35" s="679"/>
      <c r="QP35" s="670"/>
      <c r="QQ35" s="647"/>
      <c r="QR35" s="679"/>
      <c r="QS35" s="471"/>
      <c r="QT35" s="471"/>
      <c r="QU35" s="471"/>
      <c r="QV35" s="345"/>
      <c r="QW35" s="605"/>
      <c r="QX35" s="603"/>
      <c r="QY35" s="605"/>
      <c r="QZ35" s="603"/>
      <c r="RA35" s="471"/>
      <c r="RB35" s="608"/>
      <c r="RC35" s="470"/>
      <c r="RD35" s="471"/>
      <c r="RE35" s="608"/>
      <c r="RF35" s="470"/>
      <c r="RG35" s="596"/>
      <c r="RH35" s="345"/>
      <c r="RI35" s="596"/>
      <c r="RJ35" s="345"/>
      <c r="RK35" s="589"/>
      <c r="RL35" s="345"/>
      <c r="RM35" s="596"/>
      <c r="RN35" s="345"/>
      <c r="RO35" s="596"/>
      <c r="RP35" s="345"/>
      <c r="RQ35" s="513"/>
      <c r="RR35" s="345"/>
      <c r="RS35" s="511"/>
      <c r="RT35" s="511"/>
      <c r="RU35" s="511"/>
      <c r="RV35" s="511"/>
      <c r="RW35" s="345"/>
      <c r="RX35" s="647"/>
      <c r="RY35" s="769"/>
      <c r="RZ35" s="345"/>
      <c r="SA35" s="647"/>
      <c r="SB35" s="769"/>
      <c r="SC35" s="345"/>
      <c r="SD35" s="511"/>
      <c r="SE35" s="345"/>
      <c r="SF35" s="608"/>
      <c r="SG35" s="1568"/>
      <c r="SH35" s="471"/>
      <c r="SI35" s="647"/>
      <c r="SJ35" s="710"/>
      <c r="SK35" s="567"/>
      <c r="SL35" s="567"/>
      <c r="SM35" s="345"/>
      <c r="SN35" s="608"/>
      <c r="SO35" s="679"/>
      <c r="SP35" s="471"/>
      <c r="SQ35" s="608"/>
      <c r="SR35" s="679"/>
      <c r="SS35" s="471"/>
      <c r="ST35" s="710"/>
      <c r="SU35" s="679"/>
      <c r="SV35" s="471"/>
      <c r="SW35" s="679"/>
      <c r="SX35" s="679"/>
      <c r="SY35" s="567"/>
      <c r="SZ35" s="679"/>
      <c r="TA35" s="567"/>
      <c r="TB35" s="679"/>
      <c r="TC35" s="567"/>
      <c r="TD35" s="679"/>
      <c r="TE35" s="567"/>
      <c r="TF35" s="679"/>
      <c r="TG35" s="568"/>
      <c r="TH35" s="568"/>
      <c r="TI35" s="568"/>
      <c r="TJ35" s="568"/>
      <c r="TK35" s="567"/>
      <c r="TL35" s="566"/>
      <c r="TM35" s="882"/>
      <c r="TN35" s="567"/>
      <c r="TO35" s="566"/>
      <c r="TP35" s="882"/>
      <c r="TQ35" s="567"/>
      <c r="TR35" s="566"/>
      <c r="TS35" s="882"/>
      <c r="TT35" s="567"/>
      <c r="TU35" s="566"/>
      <c r="TV35" s="882"/>
      <c r="TW35" s="894"/>
      <c r="TX35" s="894"/>
      <c r="TY35" s="894"/>
      <c r="TZ35" s="894"/>
      <c r="UA35" s="345"/>
      <c r="UB35" s="647"/>
      <c r="UC35" s="679"/>
      <c r="UD35" s="345"/>
      <c r="UE35" s="647"/>
      <c r="UF35" s="679"/>
      <c r="UG35" s="345"/>
      <c r="UH35" s="647"/>
      <c r="UI35" s="679"/>
      <c r="UJ35" s="679"/>
      <c r="UK35" s="345"/>
      <c r="UL35" s="647"/>
      <c r="UM35" s="679"/>
      <c r="UN35" s="679"/>
      <c r="UO35" s="567"/>
      <c r="UP35" s="566"/>
      <c r="UQ35" s="882"/>
      <c r="UR35" s="566"/>
      <c r="US35" s="566"/>
      <c r="UT35" s="566"/>
      <c r="UU35" s="566"/>
      <c r="UV35" s="567"/>
      <c r="UW35" s="566"/>
      <c r="UX35" s="882"/>
      <c r="UY35" s="566"/>
      <c r="UZ35" s="1107"/>
      <c r="VA35" s="566"/>
      <c r="VB35" s="1107"/>
      <c r="VC35" s="567"/>
      <c r="VD35" s="566"/>
      <c r="VE35" s="566"/>
      <c r="VF35" s="567"/>
      <c r="VG35" s="566"/>
      <c r="VH35" s="566"/>
      <c r="VI35" s="894"/>
      <c r="VJ35" s="566"/>
      <c r="VK35" s="566"/>
      <c r="VL35" s="894"/>
      <c r="VM35" s="566"/>
      <c r="VN35" s="566"/>
      <c r="VO35" s="894"/>
      <c r="VP35" s="566"/>
      <c r="VQ35" s="566"/>
      <c r="VR35" s="894"/>
      <c r="VS35" s="566"/>
      <c r="VT35" s="566"/>
      <c r="VU35" s="565"/>
      <c r="VV35" s="567"/>
      <c r="VW35" s="567"/>
      <c r="VX35" s="567"/>
      <c r="VY35" s="567"/>
      <c r="VZ35" s="567"/>
      <c r="WA35" s="568"/>
      <c r="WB35" s="568"/>
      <c r="WC35" s="568"/>
      <c r="WD35" s="568"/>
      <c r="WE35" s="567"/>
      <c r="WF35" s="567"/>
      <c r="WG35" s="567"/>
      <c r="WH35" s="567"/>
      <c r="WI35" s="568"/>
      <c r="WJ35" s="568"/>
      <c r="WK35" s="568"/>
      <c r="WL35" s="568"/>
      <c r="WM35" s="252">
        <f>'Проверочная  таблица'!WE35+'Проверочная  таблица'!WG35</f>
        <v>0</v>
      </c>
      <c r="WN35" s="252">
        <f>'Проверочная  таблица'!WF35+'Проверочная  таблица'!WH35</f>
        <v>0</v>
      </c>
    </row>
    <row r="36" spans="1:612" s="338" customFormat="1" ht="25.5" customHeight="1" thickBot="1" x14ac:dyDescent="0.3">
      <c r="A36" s="354"/>
      <c r="B36" s="344"/>
      <c r="C36" s="344"/>
      <c r="D36" s="615"/>
      <c r="E36" s="616"/>
      <c r="F36" s="570"/>
      <c r="G36" s="344"/>
      <c r="H36" s="344"/>
      <c r="I36" s="344"/>
      <c r="J36" s="573"/>
      <c r="K36" s="573"/>
      <c r="L36" s="573"/>
      <c r="M36" s="573"/>
      <c r="N36" s="570"/>
      <c r="O36" s="344"/>
      <c r="P36" s="512"/>
      <c r="Q36" s="344"/>
      <c r="R36" s="591"/>
      <c r="S36" s="573"/>
      <c r="T36" s="591"/>
      <c r="U36" s="573"/>
      <c r="V36" s="344"/>
      <c r="W36" s="344"/>
      <c r="X36" s="577"/>
      <c r="Y36" s="472"/>
      <c r="Z36" s="472"/>
      <c r="AA36" s="344"/>
      <c r="AB36" s="344"/>
      <c r="AC36" s="472"/>
      <c r="AD36" s="472"/>
      <c r="AE36" s="591"/>
      <c r="AF36" s="573"/>
      <c r="AG36" s="591"/>
      <c r="AH36" s="573"/>
      <c r="AI36" s="589"/>
      <c r="AJ36" s="570"/>
      <c r="AK36" s="344"/>
      <c r="AL36" s="472"/>
      <c r="AM36" s="472"/>
      <c r="AN36" s="654"/>
      <c r="AO36" s="472"/>
      <c r="AP36" s="472"/>
      <c r="AQ36" s="570"/>
      <c r="AR36" s="472"/>
      <c r="AS36" s="472"/>
      <c r="AT36" s="472"/>
      <c r="AU36" s="571"/>
      <c r="AV36" s="472"/>
      <c r="AW36" s="570"/>
      <c r="AX36" s="472"/>
      <c r="AY36" s="572"/>
      <c r="AZ36" s="571"/>
      <c r="BA36" s="570"/>
      <c r="BB36" s="472"/>
      <c r="BC36" s="472"/>
      <c r="BD36" s="572"/>
      <c r="BE36" s="594"/>
      <c r="BF36" s="572"/>
      <c r="BG36" s="571"/>
      <c r="BH36" s="472"/>
      <c r="BI36" s="648"/>
      <c r="BJ36" s="472"/>
      <c r="BK36" s="572"/>
      <c r="BL36" s="472"/>
      <c r="BM36" s="594"/>
      <c r="BN36" s="572"/>
      <c r="BO36" s="472"/>
      <c r="BP36" s="572"/>
      <c r="BQ36" s="594"/>
      <c r="BR36" s="572"/>
      <c r="BS36" s="472"/>
      <c r="BT36" s="572"/>
      <c r="BU36" s="344"/>
      <c r="BV36" s="472"/>
      <c r="BW36" s="472"/>
      <c r="BX36" s="472"/>
      <c r="BY36" s="472"/>
      <c r="BZ36" s="344"/>
      <c r="CA36" s="571"/>
      <c r="CB36" s="472"/>
      <c r="CC36" s="472"/>
      <c r="CD36" s="472"/>
      <c r="CE36" s="344"/>
      <c r="CF36" s="472"/>
      <c r="CG36" s="472"/>
      <c r="CH36" s="472"/>
      <c r="CI36" s="472"/>
      <c r="CJ36" s="344"/>
      <c r="CK36" s="472"/>
      <c r="CL36" s="572"/>
      <c r="CM36" s="472"/>
      <c r="CN36" s="472"/>
      <c r="CO36" s="573"/>
      <c r="CP36" s="573"/>
      <c r="CQ36" s="573"/>
      <c r="CR36" s="573"/>
      <c r="CS36" s="512"/>
      <c r="CT36" s="344"/>
      <c r="CU36" s="512"/>
      <c r="CV36" s="344"/>
      <c r="CW36" s="591"/>
      <c r="CX36" s="573"/>
      <c r="CY36" s="591"/>
      <c r="CZ36" s="573"/>
      <c r="DA36" s="512"/>
      <c r="DB36" s="344"/>
      <c r="DC36" s="512"/>
      <c r="DD36" s="344"/>
      <c r="DE36" s="591"/>
      <c r="DF36" s="573"/>
      <c r="DG36" s="591"/>
      <c r="DH36" s="573"/>
      <c r="DI36" s="570"/>
      <c r="DJ36" s="472"/>
      <c r="DK36" s="472"/>
      <c r="DL36" s="766"/>
      <c r="DM36" s="344"/>
      <c r="DN36" s="472"/>
      <c r="DO36" s="472"/>
      <c r="DP36" s="680"/>
      <c r="DQ36" s="512"/>
      <c r="DR36" s="576"/>
      <c r="DS36" s="571"/>
      <c r="DT36" s="680"/>
      <c r="DU36" s="572"/>
      <c r="DV36" s="680"/>
      <c r="DW36" s="654"/>
      <c r="DX36" s="344"/>
      <c r="DY36" s="577"/>
      <c r="DZ36" s="571"/>
      <c r="EA36" s="680"/>
      <c r="EB36" s="571"/>
      <c r="EC36" s="680"/>
      <c r="ED36" s="654"/>
      <c r="EE36" s="570"/>
      <c r="EF36" s="472"/>
      <c r="EG36" s="766"/>
      <c r="EH36" s="344"/>
      <c r="EI36" s="572"/>
      <c r="EJ36" s="680"/>
      <c r="EK36" s="570"/>
      <c r="EL36" s="571"/>
      <c r="EM36" s="680"/>
      <c r="EN36" s="572"/>
      <c r="EO36" s="680"/>
      <c r="EP36" s="571"/>
      <c r="EQ36" s="680"/>
      <c r="ER36" s="344"/>
      <c r="ES36" s="571"/>
      <c r="ET36" s="680"/>
      <c r="EU36" s="571"/>
      <c r="EV36" s="680"/>
      <c r="EW36" s="571"/>
      <c r="EX36" s="680"/>
      <c r="EY36" s="570"/>
      <c r="EZ36" s="472"/>
      <c r="FA36" s="680"/>
      <c r="FB36" s="344"/>
      <c r="FC36" s="572"/>
      <c r="FD36" s="680"/>
      <c r="FE36" s="570"/>
      <c r="FF36" s="472"/>
      <c r="FG36" s="766"/>
      <c r="FH36" s="344"/>
      <c r="FI36" s="572"/>
      <c r="FJ36" s="680"/>
      <c r="FK36" s="570"/>
      <c r="FL36" s="472"/>
      <c r="FM36" s="766"/>
      <c r="FN36" s="344"/>
      <c r="FO36" s="572"/>
      <c r="FP36" s="680"/>
      <c r="FQ36" s="570"/>
      <c r="FR36" s="472"/>
      <c r="FS36" s="766"/>
      <c r="FT36" s="344"/>
      <c r="FU36" s="572"/>
      <c r="FV36" s="680"/>
      <c r="FW36" s="570"/>
      <c r="FX36" s="472"/>
      <c r="FY36" s="766"/>
      <c r="FZ36" s="344"/>
      <c r="GA36" s="572"/>
      <c r="GB36" s="680"/>
      <c r="GC36" s="648"/>
      <c r="GD36" s="594"/>
      <c r="GE36" s="648"/>
      <c r="GF36" s="594"/>
      <c r="GG36" s="570"/>
      <c r="GH36" s="472"/>
      <c r="GI36" s="708"/>
      <c r="GJ36" s="570"/>
      <c r="GK36" s="472"/>
      <c r="GL36" s="708"/>
      <c r="GM36" s="570"/>
      <c r="GN36" s="472"/>
      <c r="GO36" s="766"/>
      <c r="GP36" s="344"/>
      <c r="GQ36" s="472"/>
      <c r="GR36" s="708"/>
      <c r="GS36" s="570"/>
      <c r="GT36" s="472"/>
      <c r="GU36" s="766"/>
      <c r="GV36" s="344"/>
      <c r="GW36" s="472"/>
      <c r="GX36" s="708"/>
      <c r="GY36" s="648"/>
      <c r="GZ36" s="472"/>
      <c r="HA36" s="766"/>
      <c r="HB36" s="594"/>
      <c r="HC36" s="472"/>
      <c r="HD36" s="708"/>
      <c r="HE36" s="648"/>
      <c r="HF36" s="472"/>
      <c r="HG36" s="766"/>
      <c r="HH36" s="594"/>
      <c r="HI36" s="472"/>
      <c r="HJ36" s="708"/>
      <c r="HK36" s="570"/>
      <c r="HL36" s="578"/>
      <c r="HM36" s="680"/>
      <c r="HN36" s="344"/>
      <c r="HO36" s="578"/>
      <c r="HP36" s="680"/>
      <c r="HQ36" s="512"/>
      <c r="HR36" s="578"/>
      <c r="HS36" s="680"/>
      <c r="HT36" s="344"/>
      <c r="HU36" s="576"/>
      <c r="HV36" s="680"/>
      <c r="HW36" s="570"/>
      <c r="HX36" s="576"/>
      <c r="HY36" s="680"/>
      <c r="HZ36" s="344"/>
      <c r="IA36" s="576"/>
      <c r="IB36" s="680"/>
      <c r="IC36" s="576"/>
      <c r="ID36" s="680"/>
      <c r="IE36" s="648"/>
      <c r="IF36" s="576"/>
      <c r="IG36" s="680"/>
      <c r="IH36" s="594"/>
      <c r="II36" s="576"/>
      <c r="IJ36" s="680"/>
      <c r="IK36" s="594"/>
      <c r="IL36" s="576"/>
      <c r="IM36" s="680"/>
      <c r="IN36" s="594"/>
      <c r="IO36" s="576"/>
      <c r="IP36" s="680"/>
      <c r="IQ36" s="344"/>
      <c r="IR36" s="472"/>
      <c r="IS36" s="708"/>
      <c r="IT36" s="472"/>
      <c r="IU36" s="708"/>
      <c r="IV36" s="578"/>
      <c r="IW36" s="680"/>
      <c r="IX36" s="1221"/>
      <c r="IY36" s="708"/>
      <c r="IZ36" s="576"/>
      <c r="JA36" s="344"/>
      <c r="JB36" s="472"/>
      <c r="JC36" s="708"/>
      <c r="JD36" s="472"/>
      <c r="JE36" s="708"/>
      <c r="JF36" s="578"/>
      <c r="JG36" s="680"/>
      <c r="JH36" s="472"/>
      <c r="JI36" s="708"/>
      <c r="JJ36" s="472"/>
      <c r="JK36" s="510"/>
      <c r="JL36" s="472"/>
      <c r="JM36" s="708"/>
      <c r="JN36" s="472"/>
      <c r="JO36" s="708"/>
      <c r="JP36" s="344"/>
      <c r="JQ36" s="472"/>
      <c r="JR36" s="708"/>
      <c r="JS36" s="472"/>
      <c r="JT36" s="708"/>
      <c r="JU36" s="575"/>
      <c r="JV36" s="472"/>
      <c r="JW36" s="680"/>
      <c r="JX36" s="472"/>
      <c r="JY36" s="708"/>
      <c r="JZ36" s="575"/>
      <c r="KA36" s="472"/>
      <c r="KB36" s="680"/>
      <c r="KC36" s="472"/>
      <c r="KD36" s="708"/>
      <c r="KE36" s="573"/>
      <c r="KF36" s="472"/>
      <c r="KG36" s="680"/>
      <c r="KH36" s="472"/>
      <c r="KI36" s="708"/>
      <c r="KJ36" s="573"/>
      <c r="KK36" s="472"/>
      <c r="KL36" s="680"/>
      <c r="KM36" s="472"/>
      <c r="KN36" s="708"/>
      <c r="KO36" s="510"/>
      <c r="KP36" s="472"/>
      <c r="KQ36" s="680"/>
      <c r="KR36" s="571"/>
      <c r="KS36" s="344"/>
      <c r="KT36" s="571"/>
      <c r="KU36" s="680"/>
      <c r="KV36" s="571"/>
      <c r="KW36" s="344"/>
      <c r="KX36" s="472"/>
      <c r="KY36" s="344"/>
      <c r="KZ36" s="577"/>
      <c r="LA36" s="344"/>
      <c r="LB36" s="576"/>
      <c r="LC36" s="680"/>
      <c r="LD36" s="576"/>
      <c r="LE36" s="344"/>
      <c r="LF36" s="576"/>
      <c r="LG36" s="680"/>
      <c r="LH36" s="576"/>
      <c r="LI36" s="344"/>
      <c r="LJ36" s="576"/>
      <c r="LK36" s="680"/>
      <c r="LL36" s="576"/>
      <c r="LM36" s="510"/>
      <c r="LN36" s="576"/>
      <c r="LO36" s="680"/>
      <c r="LP36" s="576"/>
      <c r="LQ36" s="575"/>
      <c r="LR36" s="578"/>
      <c r="LS36" s="680"/>
      <c r="LT36" s="576"/>
      <c r="LU36" s="573"/>
      <c r="LV36" s="654"/>
      <c r="LW36" s="680"/>
      <c r="LX36" s="576"/>
      <c r="LY36" s="573"/>
      <c r="LZ36" s="578"/>
      <c r="MA36" s="705"/>
      <c r="MB36" s="576"/>
      <c r="MC36" s="573"/>
      <c r="MD36" s="576"/>
      <c r="ME36" s="680"/>
      <c r="MF36" s="576"/>
      <c r="MG36" s="344"/>
      <c r="MH36" s="472"/>
      <c r="MI36" s="708"/>
      <c r="MJ36" s="472"/>
      <c r="MK36" s="708"/>
      <c r="ML36" s="344"/>
      <c r="MM36" s="472"/>
      <c r="MN36" s="708"/>
      <c r="MO36" s="472"/>
      <c r="MP36" s="708"/>
      <c r="MQ36" s="594"/>
      <c r="MR36" s="472"/>
      <c r="MS36" s="708"/>
      <c r="MT36" s="472"/>
      <c r="MU36" s="708"/>
      <c r="MV36" s="594"/>
      <c r="MW36" s="472"/>
      <c r="MX36" s="708"/>
      <c r="MY36" s="472"/>
      <c r="MZ36" s="708"/>
      <c r="NA36" s="594"/>
      <c r="NB36" s="472"/>
      <c r="NC36" s="708"/>
      <c r="ND36" s="472"/>
      <c r="NE36" s="708"/>
      <c r="NF36" s="594"/>
      <c r="NG36" s="472"/>
      <c r="NH36" s="708"/>
      <c r="NI36" s="472"/>
      <c r="NJ36" s="708"/>
      <c r="NK36" s="570"/>
      <c r="NL36" s="472"/>
      <c r="NM36" s="766"/>
      <c r="NN36" s="344"/>
      <c r="NO36" s="572"/>
      <c r="NP36" s="680"/>
      <c r="NQ36" s="344"/>
      <c r="NR36" s="472"/>
      <c r="NS36" s="766"/>
      <c r="NT36" s="472"/>
      <c r="NU36" s="680"/>
      <c r="NV36" s="472"/>
      <c r="NW36" s="708"/>
      <c r="NX36" s="344"/>
      <c r="NY36" s="571"/>
      <c r="NZ36" s="680"/>
      <c r="OA36" s="571"/>
      <c r="OB36" s="680"/>
      <c r="OC36" s="472"/>
      <c r="OD36" s="680"/>
      <c r="OE36" s="344"/>
      <c r="OF36" s="472"/>
      <c r="OG36" s="708"/>
      <c r="OH36" s="571"/>
      <c r="OI36" s="680"/>
      <c r="OJ36" s="472"/>
      <c r="OK36" s="708"/>
      <c r="OL36" s="344"/>
      <c r="OM36" s="472"/>
      <c r="ON36" s="708"/>
      <c r="OO36" s="571"/>
      <c r="OP36" s="680"/>
      <c r="OQ36" s="472"/>
      <c r="OR36" s="708"/>
      <c r="OS36" s="594"/>
      <c r="OT36" s="472"/>
      <c r="OU36" s="708"/>
      <c r="OV36" s="472"/>
      <c r="OW36" s="708"/>
      <c r="OX36" s="472"/>
      <c r="OY36" s="708"/>
      <c r="OZ36" s="594"/>
      <c r="PA36" s="472"/>
      <c r="PB36" s="708"/>
      <c r="PC36" s="472"/>
      <c r="PD36" s="708"/>
      <c r="PE36" s="472"/>
      <c r="PF36" s="708"/>
      <c r="PG36" s="594"/>
      <c r="PH36" s="472"/>
      <c r="PI36" s="708"/>
      <c r="PJ36" s="576"/>
      <c r="PK36" s="766"/>
      <c r="PL36" s="472"/>
      <c r="PM36" s="708"/>
      <c r="PN36" s="594"/>
      <c r="PO36" s="472"/>
      <c r="PP36" s="708"/>
      <c r="PQ36" s="571"/>
      <c r="PR36" s="680"/>
      <c r="PS36" s="472"/>
      <c r="PT36" s="708"/>
      <c r="PU36" s="344"/>
      <c r="PV36" s="576"/>
      <c r="PW36" s="680"/>
      <c r="PX36" s="344"/>
      <c r="PY36" s="576"/>
      <c r="PZ36" s="680"/>
      <c r="QA36" s="510"/>
      <c r="QB36" s="576"/>
      <c r="QC36" s="680"/>
      <c r="QD36" s="344"/>
      <c r="QE36" s="576"/>
      <c r="QF36" s="680"/>
      <c r="QG36" s="594"/>
      <c r="QH36" s="576"/>
      <c r="QI36" s="680"/>
      <c r="QJ36" s="594"/>
      <c r="QK36" s="576"/>
      <c r="QL36" s="680"/>
      <c r="QM36" s="594"/>
      <c r="QN36" s="576"/>
      <c r="QO36" s="680"/>
      <c r="QP36" s="594"/>
      <c r="QQ36" s="576"/>
      <c r="QR36" s="680"/>
      <c r="QS36" s="344"/>
      <c r="QT36" s="344"/>
      <c r="QU36" s="344"/>
      <c r="QV36" s="344"/>
      <c r="QW36" s="591"/>
      <c r="QX36" s="573"/>
      <c r="QY36" s="591"/>
      <c r="QZ36" s="573"/>
      <c r="RA36" s="344"/>
      <c r="RB36" s="572"/>
      <c r="RC36" s="472"/>
      <c r="RD36" s="344"/>
      <c r="RE36" s="572"/>
      <c r="RF36" s="472"/>
      <c r="RG36" s="512"/>
      <c r="RH36" s="344"/>
      <c r="RI36" s="512"/>
      <c r="RJ36" s="344"/>
      <c r="RK36" s="570"/>
      <c r="RL36" s="344"/>
      <c r="RM36" s="512"/>
      <c r="RN36" s="344"/>
      <c r="RO36" s="512"/>
      <c r="RP36" s="344"/>
      <c r="RQ36" s="512"/>
      <c r="RR36" s="344"/>
      <c r="RS36" s="510"/>
      <c r="RT36" s="510"/>
      <c r="RU36" s="510"/>
      <c r="RV36" s="510"/>
      <c r="RW36" s="344"/>
      <c r="RX36" s="576"/>
      <c r="RY36" s="766"/>
      <c r="RZ36" s="344"/>
      <c r="SA36" s="576"/>
      <c r="SB36" s="766"/>
      <c r="SC36" s="344"/>
      <c r="SD36" s="510"/>
      <c r="SE36" s="344"/>
      <c r="SF36" s="572"/>
      <c r="SG36" s="1564"/>
      <c r="SH36" s="344"/>
      <c r="SI36" s="576"/>
      <c r="SJ36" s="708"/>
      <c r="SK36" s="547"/>
      <c r="SL36" s="547"/>
      <c r="SM36" s="344"/>
      <c r="SN36" s="572"/>
      <c r="SO36" s="680"/>
      <c r="SP36" s="344"/>
      <c r="SQ36" s="572"/>
      <c r="SR36" s="680"/>
      <c r="SS36" s="344"/>
      <c r="ST36" s="708"/>
      <c r="SU36" s="680"/>
      <c r="SV36" s="344"/>
      <c r="SW36" s="680"/>
      <c r="SX36" s="680"/>
      <c r="SY36" s="547"/>
      <c r="SZ36" s="680"/>
      <c r="TA36" s="547"/>
      <c r="TB36" s="680"/>
      <c r="TC36" s="547"/>
      <c r="TD36" s="680"/>
      <c r="TE36" s="547"/>
      <c r="TF36" s="680"/>
      <c r="TG36" s="550"/>
      <c r="TH36" s="550"/>
      <c r="TI36" s="550"/>
      <c r="TJ36" s="550"/>
      <c r="TK36" s="547"/>
      <c r="TL36" s="553"/>
      <c r="TM36" s="881"/>
      <c r="TN36" s="547"/>
      <c r="TO36" s="553"/>
      <c r="TP36" s="881"/>
      <c r="TQ36" s="547"/>
      <c r="TR36" s="553"/>
      <c r="TS36" s="881"/>
      <c r="TT36" s="547"/>
      <c r="TU36" s="553"/>
      <c r="TV36" s="881"/>
      <c r="TW36" s="895"/>
      <c r="TX36" s="895"/>
      <c r="TY36" s="895"/>
      <c r="TZ36" s="895"/>
      <c r="UA36" s="344"/>
      <c r="UB36" s="576"/>
      <c r="UC36" s="680"/>
      <c r="UD36" s="344"/>
      <c r="UE36" s="576"/>
      <c r="UF36" s="680"/>
      <c r="UG36" s="344"/>
      <c r="UH36" s="576"/>
      <c r="UI36" s="680"/>
      <c r="UJ36" s="680"/>
      <c r="UK36" s="344"/>
      <c r="UL36" s="576"/>
      <c r="UM36" s="680"/>
      <c r="UN36" s="680"/>
      <c r="UO36" s="547"/>
      <c r="UP36" s="553"/>
      <c r="UQ36" s="881"/>
      <c r="UR36" s="553"/>
      <c r="US36" s="553"/>
      <c r="UT36" s="553"/>
      <c r="UU36" s="553"/>
      <c r="UV36" s="547"/>
      <c r="UW36" s="553"/>
      <c r="UX36" s="881"/>
      <c r="UY36" s="553"/>
      <c r="UZ36" s="1108"/>
      <c r="VA36" s="553"/>
      <c r="VB36" s="1108"/>
      <c r="VC36" s="547"/>
      <c r="VD36" s="553"/>
      <c r="VE36" s="553"/>
      <c r="VF36" s="547"/>
      <c r="VG36" s="553"/>
      <c r="VH36" s="553"/>
      <c r="VI36" s="895"/>
      <c r="VJ36" s="553"/>
      <c r="VK36" s="553"/>
      <c r="VL36" s="895"/>
      <c r="VM36" s="553"/>
      <c r="VN36" s="553"/>
      <c r="VO36" s="895"/>
      <c r="VP36" s="553"/>
      <c r="VQ36" s="553"/>
      <c r="VR36" s="895"/>
      <c r="VS36" s="553"/>
      <c r="VT36" s="553"/>
      <c r="VU36" s="546"/>
      <c r="VV36" s="547"/>
      <c r="VW36" s="547"/>
      <c r="VX36" s="547"/>
      <c r="VY36" s="547"/>
      <c r="VZ36" s="547"/>
      <c r="WA36" s="550"/>
      <c r="WB36" s="550"/>
      <c r="WC36" s="550"/>
      <c r="WD36" s="550"/>
      <c r="WE36" s="547"/>
      <c r="WF36" s="547"/>
      <c r="WG36" s="547"/>
      <c r="WH36" s="547"/>
      <c r="WI36" s="550"/>
      <c r="WJ36" s="550"/>
      <c r="WK36" s="550"/>
      <c r="WL36" s="550"/>
      <c r="WM36" s="252">
        <f>'Проверочная  таблица'!WE36+'Проверочная  таблица'!WG36</f>
        <v>0</v>
      </c>
      <c r="WN36" s="252">
        <f>'Проверочная  таблица'!WF36+'Проверочная  таблица'!WH36</f>
        <v>0</v>
      </c>
    </row>
    <row r="37" spans="1:612" s="338" customFormat="1" ht="25.5" customHeight="1" thickBot="1" x14ac:dyDescent="0.3">
      <c r="A37" s="674" t="s">
        <v>136</v>
      </c>
      <c r="B37" s="344">
        <f t="shared" ref="B37:AG37" si="515">B30+B34</f>
        <v>24504502508.979996</v>
      </c>
      <c r="C37" s="344">
        <f t="shared" si="515"/>
        <v>17134346302.290001</v>
      </c>
      <c r="D37" s="570">
        <f t="shared" si="515"/>
        <v>4281021457</v>
      </c>
      <c r="E37" s="344">
        <f t="shared" si="515"/>
        <v>3066057531.5700002</v>
      </c>
      <c r="F37" s="570">
        <f t="shared" si="515"/>
        <v>1070343466</v>
      </c>
      <c r="G37" s="344">
        <f t="shared" si="515"/>
        <v>845112616.63</v>
      </c>
      <c r="H37" s="344">
        <f t="shared" si="515"/>
        <v>638004220</v>
      </c>
      <c r="I37" s="344">
        <f t="shared" si="515"/>
        <v>486970154.60000002</v>
      </c>
      <c r="J37" s="573">
        <f t="shared" si="515"/>
        <v>495678220</v>
      </c>
      <c r="K37" s="573">
        <f t="shared" si="515"/>
        <v>376553434.89999998</v>
      </c>
      <c r="L37" s="573">
        <f t="shared" si="515"/>
        <v>142326000</v>
      </c>
      <c r="M37" s="573">
        <f t="shared" si="515"/>
        <v>110416719.7</v>
      </c>
      <c r="N37" s="570">
        <f t="shared" si="515"/>
        <v>1719964703</v>
      </c>
      <c r="O37" s="344">
        <f t="shared" si="515"/>
        <v>1028050514.02</v>
      </c>
      <c r="P37" s="512">
        <f t="shared" si="515"/>
        <v>812709068</v>
      </c>
      <c r="Q37" s="344">
        <f t="shared" si="515"/>
        <v>667224063.32000005</v>
      </c>
      <c r="R37" s="591">
        <f t="shared" si="515"/>
        <v>684253896</v>
      </c>
      <c r="S37" s="573">
        <f t="shared" si="515"/>
        <v>549781463.92000008</v>
      </c>
      <c r="T37" s="591">
        <f t="shared" si="515"/>
        <v>128455172</v>
      </c>
      <c r="U37" s="573">
        <f t="shared" si="515"/>
        <v>117442599.40000001</v>
      </c>
      <c r="V37" s="344">
        <f t="shared" si="515"/>
        <v>28500000</v>
      </c>
      <c r="W37" s="344">
        <f t="shared" si="515"/>
        <v>27200183</v>
      </c>
      <c r="X37" s="577">
        <f t="shared" si="515"/>
        <v>6000000</v>
      </c>
      <c r="Y37" s="472">
        <f t="shared" si="515"/>
        <v>8900000</v>
      </c>
      <c r="Z37" s="472">
        <f t="shared" si="515"/>
        <v>12300183</v>
      </c>
      <c r="AA37" s="344">
        <f t="shared" si="515"/>
        <v>11500000</v>
      </c>
      <c r="AB37" s="344">
        <f t="shared" si="515"/>
        <v>11500000</v>
      </c>
      <c r="AC37" s="472">
        <f t="shared" si="515"/>
        <v>8500000</v>
      </c>
      <c r="AD37" s="472">
        <f t="shared" si="515"/>
        <v>3000000</v>
      </c>
      <c r="AE37" s="591">
        <f t="shared" si="515"/>
        <v>8500000</v>
      </c>
      <c r="AF37" s="573">
        <f t="shared" si="515"/>
        <v>8500000</v>
      </c>
      <c r="AG37" s="591">
        <f t="shared" si="515"/>
        <v>3000000</v>
      </c>
      <c r="AH37" s="573">
        <f t="shared" ref="AH37:AK37" si="516">AH30+AH34</f>
        <v>3000000</v>
      </c>
      <c r="AI37" s="473">
        <f t="shared" si="516"/>
        <v>6034501956.2299995</v>
      </c>
      <c r="AJ37" s="570">
        <f t="shared" si="516"/>
        <v>3389548986.2699995</v>
      </c>
      <c r="AK37" s="344">
        <f t="shared" si="516"/>
        <v>76824224</v>
      </c>
      <c r="AL37" s="467">
        <f>AL30+AL34</f>
        <v>0</v>
      </c>
      <c r="AM37" s="467">
        <f>AM30+AM34</f>
        <v>76824224</v>
      </c>
      <c r="AN37" s="607">
        <f t="shared" ref="AN37" si="517">AN30+AN34</f>
        <v>0</v>
      </c>
      <c r="AO37" s="467">
        <f>AO30+AO34</f>
        <v>0</v>
      </c>
      <c r="AP37" s="467">
        <f>AP30+AP34</f>
        <v>0</v>
      </c>
      <c r="AQ37" s="570">
        <f t="shared" ref="AQ37" si="518">AQ30+AQ34</f>
        <v>18363237.890000001</v>
      </c>
      <c r="AR37" s="467">
        <f>AR30+AR34</f>
        <v>0</v>
      </c>
      <c r="AS37" s="467">
        <f>AS30+AS34</f>
        <v>18363237.890000001</v>
      </c>
      <c r="AT37" s="467">
        <f t="shared" ref="AT37" si="519">AT30+AT34</f>
        <v>0</v>
      </c>
      <c r="AU37" s="597">
        <f>AU30+AU34</f>
        <v>0</v>
      </c>
      <c r="AV37" s="467">
        <f>AV30+AV34</f>
        <v>0</v>
      </c>
      <c r="AW37" s="570">
        <f t="shared" ref="AW37" si="520">AW30+AW34</f>
        <v>0</v>
      </c>
      <c r="AX37" s="467">
        <f>AX30+AX34</f>
        <v>0</v>
      </c>
      <c r="AY37" s="607">
        <f>AY30+AY34</f>
        <v>0</v>
      </c>
      <c r="AZ37" s="597">
        <f>AZ30+AZ34</f>
        <v>0</v>
      </c>
      <c r="BA37" s="570">
        <f t="shared" ref="BA37" si="521">BA30+BA34</f>
        <v>0</v>
      </c>
      <c r="BB37" s="467">
        <f>BB30+BB34</f>
        <v>0</v>
      </c>
      <c r="BC37" s="467">
        <f>BC30+BC34</f>
        <v>0</v>
      </c>
      <c r="BD37" s="607">
        <f>BD30+BD34</f>
        <v>0</v>
      </c>
      <c r="BE37" s="594">
        <f t="shared" ref="BE37" si="522">BE30+BE34</f>
        <v>0</v>
      </c>
      <c r="BF37" s="607">
        <f>BF30+BF34</f>
        <v>0</v>
      </c>
      <c r="BG37" s="597">
        <f>BG30+BG34</f>
        <v>0</v>
      </c>
      <c r="BH37" s="467">
        <f>BH30+BH34</f>
        <v>0</v>
      </c>
      <c r="BI37" s="648">
        <f t="shared" ref="BI37" si="523">BI30+BI34</f>
        <v>0</v>
      </c>
      <c r="BJ37" s="467">
        <f>BJ30+BJ34</f>
        <v>0</v>
      </c>
      <c r="BK37" s="607">
        <f>BK30+BK34</f>
        <v>0</v>
      </c>
      <c r="BL37" s="467">
        <f>BL30+BL34</f>
        <v>0</v>
      </c>
      <c r="BM37" s="594">
        <f t="shared" ref="BM37" si="524">BM30+BM34</f>
        <v>0</v>
      </c>
      <c r="BN37" s="607">
        <f>BN30+BN34</f>
        <v>0</v>
      </c>
      <c r="BO37" s="467">
        <f>BO30+BO34</f>
        <v>0</v>
      </c>
      <c r="BP37" s="607">
        <f>BP30+BP34</f>
        <v>0</v>
      </c>
      <c r="BQ37" s="594">
        <f t="shared" ref="BQ37" si="525">BQ30+BQ34</f>
        <v>0</v>
      </c>
      <c r="BR37" s="607">
        <f>BR30+BR34</f>
        <v>0</v>
      </c>
      <c r="BS37" s="467">
        <f>BS30+BS34</f>
        <v>0</v>
      </c>
      <c r="BT37" s="607">
        <f>BT30+BT34</f>
        <v>0</v>
      </c>
      <c r="BU37" s="447">
        <f t="shared" ref="BU37:CO37" si="526">BU30+BU34</f>
        <v>1619238165.6100001</v>
      </c>
      <c r="BV37" s="467">
        <f t="shared" si="526"/>
        <v>213944999.85000002</v>
      </c>
      <c r="BW37" s="467">
        <f t="shared" si="526"/>
        <v>564696068.30999994</v>
      </c>
      <c r="BX37" s="467">
        <f>BX30+BX34</f>
        <v>170000000</v>
      </c>
      <c r="BY37" s="467">
        <f>BY30+BY34</f>
        <v>670597097.45000005</v>
      </c>
      <c r="BZ37" s="447">
        <f t="shared" ref="BZ37" si="527">BZ30+BZ34</f>
        <v>857172244.04999995</v>
      </c>
      <c r="CA37" s="597">
        <f t="shared" si="526"/>
        <v>90813101.620000005</v>
      </c>
      <c r="CB37" s="467">
        <f t="shared" si="526"/>
        <v>387703606.06999999</v>
      </c>
      <c r="CC37" s="467">
        <f>CC30+CC34</f>
        <v>128199146.23999999</v>
      </c>
      <c r="CD37" s="467">
        <f>CD30+CD34</f>
        <v>250456390.12</v>
      </c>
      <c r="CE37" s="447">
        <f t="shared" ref="CE37" si="528">CE30+CE34</f>
        <v>75325010.150000006</v>
      </c>
      <c r="CF37" s="467">
        <f t="shared" si="526"/>
        <v>0</v>
      </c>
      <c r="CG37" s="467">
        <f t="shared" si="526"/>
        <v>75325010.150000006</v>
      </c>
      <c r="CH37" s="467">
        <f>CH30+CH34</f>
        <v>0</v>
      </c>
      <c r="CI37" s="467">
        <f>CI30+CI34</f>
        <v>0</v>
      </c>
      <c r="CJ37" s="447">
        <f t="shared" ref="CJ37" si="529">CJ30+CJ34</f>
        <v>48416156.719999999</v>
      </c>
      <c r="CK37" s="467">
        <f t="shared" si="526"/>
        <v>0</v>
      </c>
      <c r="CL37" s="607">
        <f t="shared" si="526"/>
        <v>48416156.719999999</v>
      </c>
      <c r="CM37" s="467">
        <f>CM30+CM34</f>
        <v>0</v>
      </c>
      <c r="CN37" s="467">
        <f>CN30+CN34</f>
        <v>0</v>
      </c>
      <c r="CO37" s="574">
        <f t="shared" si="526"/>
        <v>0</v>
      </c>
      <c r="CP37" s="574">
        <f t="shared" ref="CP37:DW37" si="530">CP30+CP34</f>
        <v>0</v>
      </c>
      <c r="CQ37" s="574">
        <f t="shared" si="530"/>
        <v>75325010.150000006</v>
      </c>
      <c r="CR37" s="574">
        <f t="shared" si="530"/>
        <v>48416156.719999999</v>
      </c>
      <c r="CS37" s="512">
        <f t="shared" si="530"/>
        <v>607101979.33999991</v>
      </c>
      <c r="CT37" s="447">
        <f t="shared" si="530"/>
        <v>480962639.49999994</v>
      </c>
      <c r="CU37" s="512">
        <f t="shared" si="530"/>
        <v>191161297.18000001</v>
      </c>
      <c r="CV37" s="447">
        <f t="shared" si="530"/>
        <v>160824176.32000002</v>
      </c>
      <c r="CW37" s="591">
        <f t="shared" si="530"/>
        <v>4288396.5500000007</v>
      </c>
      <c r="CX37" s="574">
        <f t="shared" si="530"/>
        <v>3430717.25</v>
      </c>
      <c r="CY37" s="591">
        <f t="shared" si="530"/>
        <v>186872900.63000003</v>
      </c>
      <c r="CZ37" s="574">
        <f t="shared" si="530"/>
        <v>157393459.07000002</v>
      </c>
      <c r="DA37" s="609">
        <f t="shared" si="530"/>
        <v>75297830.200000003</v>
      </c>
      <c r="DB37" s="447">
        <f t="shared" si="530"/>
        <v>60071040.390000001</v>
      </c>
      <c r="DC37" s="609">
        <f t="shared" si="530"/>
        <v>23311529.969999999</v>
      </c>
      <c r="DD37" s="447">
        <f t="shared" si="530"/>
        <v>19127720.400000002</v>
      </c>
      <c r="DE37" s="610">
        <f t="shared" si="530"/>
        <v>1599701.3900000006</v>
      </c>
      <c r="DF37" s="574">
        <f t="shared" si="530"/>
        <v>1279761.1100000003</v>
      </c>
      <c r="DG37" s="610">
        <f t="shared" si="530"/>
        <v>21711828.579999998</v>
      </c>
      <c r="DH37" s="574">
        <f t="shared" si="530"/>
        <v>17847959.290000003</v>
      </c>
      <c r="DI37" s="473">
        <f t="shared" ref="DI37:DP37" si="531">DI30+DI34</f>
        <v>354973518.56999999</v>
      </c>
      <c r="DJ37" s="467">
        <f t="shared" si="531"/>
        <v>0</v>
      </c>
      <c r="DK37" s="472">
        <f t="shared" si="531"/>
        <v>58636871.510000005</v>
      </c>
      <c r="DL37" s="766">
        <f t="shared" si="531"/>
        <v>296336647.06</v>
      </c>
      <c r="DM37" s="447">
        <f t="shared" ref="DM37" si="532">DM30+DM34</f>
        <v>170204232.49000001</v>
      </c>
      <c r="DN37" s="467">
        <f t="shared" ref="DN37" si="533">DN30+DN34</f>
        <v>0</v>
      </c>
      <c r="DO37" s="467">
        <f t="shared" si="531"/>
        <v>32023298.75</v>
      </c>
      <c r="DP37" s="680">
        <f t="shared" si="531"/>
        <v>138180933.74000001</v>
      </c>
      <c r="DQ37" s="609">
        <f t="shared" si="530"/>
        <v>19759844.439999998</v>
      </c>
      <c r="DR37" s="576">
        <f t="shared" si="530"/>
        <v>10618444.439999999</v>
      </c>
      <c r="DS37" s="597">
        <f t="shared" si="530"/>
        <v>0</v>
      </c>
      <c r="DT37" s="680">
        <f t="shared" si="530"/>
        <v>0</v>
      </c>
      <c r="DU37" s="572">
        <f t="shared" si="530"/>
        <v>0</v>
      </c>
      <c r="DV37" s="680">
        <f t="shared" si="530"/>
        <v>0</v>
      </c>
      <c r="DW37" s="654">
        <f t="shared" si="530"/>
        <v>9141400</v>
      </c>
      <c r="DX37" s="447">
        <f t="shared" ref="DX37:ED37" si="534">DX30+DX34</f>
        <v>12965022.839999998</v>
      </c>
      <c r="DY37" s="577">
        <f t="shared" si="534"/>
        <v>6962214.1699999999</v>
      </c>
      <c r="DZ37" s="597">
        <f t="shared" si="534"/>
        <v>0</v>
      </c>
      <c r="EA37" s="680">
        <f t="shared" si="534"/>
        <v>0</v>
      </c>
      <c r="EB37" s="597">
        <f t="shared" si="534"/>
        <v>0</v>
      </c>
      <c r="EC37" s="680">
        <f t="shared" si="534"/>
        <v>0</v>
      </c>
      <c r="ED37" s="654">
        <f t="shared" si="534"/>
        <v>6002808.6699999999</v>
      </c>
      <c r="EE37" s="473">
        <f t="shared" ref="EE37:EJ37" si="535">EE30+EE34</f>
        <v>5654106</v>
      </c>
      <c r="EF37" s="472">
        <f t="shared" si="535"/>
        <v>282706</v>
      </c>
      <c r="EG37" s="766">
        <f t="shared" si="535"/>
        <v>5371400</v>
      </c>
      <c r="EH37" s="447">
        <f t="shared" si="535"/>
        <v>2827053</v>
      </c>
      <c r="EI37" s="607">
        <f t="shared" si="535"/>
        <v>141353.01</v>
      </c>
      <c r="EJ37" s="680">
        <f t="shared" si="535"/>
        <v>2685699.99</v>
      </c>
      <c r="EK37" s="473">
        <f t="shared" ref="EK37:FJ37" si="536">EK30+EK34</f>
        <v>25906700</v>
      </c>
      <c r="EL37" s="597">
        <f t="shared" si="536"/>
        <v>242700</v>
      </c>
      <c r="EM37" s="677">
        <f t="shared" si="536"/>
        <v>4611300</v>
      </c>
      <c r="EN37" s="607">
        <f>EN30+EN34</f>
        <v>0</v>
      </c>
      <c r="EO37" s="677">
        <f>EO30+EO34</f>
        <v>0</v>
      </c>
      <c r="EP37" s="597">
        <f t="shared" si="536"/>
        <v>1052700</v>
      </c>
      <c r="EQ37" s="677">
        <f t="shared" si="536"/>
        <v>20000000</v>
      </c>
      <c r="ER37" s="447">
        <f t="shared" si="536"/>
        <v>481340.31</v>
      </c>
      <c r="ES37" s="597">
        <f t="shared" si="536"/>
        <v>24067.02</v>
      </c>
      <c r="ET37" s="677">
        <f t="shared" si="536"/>
        <v>457273.29</v>
      </c>
      <c r="EU37" s="597">
        <f>EU30+EU34</f>
        <v>0</v>
      </c>
      <c r="EV37" s="677">
        <f>EV30+EV34</f>
        <v>0</v>
      </c>
      <c r="EW37" s="597">
        <f t="shared" ref="EW37:EX37" si="537">EW30+EW34</f>
        <v>0</v>
      </c>
      <c r="EX37" s="677">
        <f t="shared" si="537"/>
        <v>0</v>
      </c>
      <c r="EY37" s="473">
        <f t="shared" ref="EY37:FB37" si="538">EY30+EY34</f>
        <v>25526315.789999999</v>
      </c>
      <c r="EZ37" s="472">
        <f t="shared" ref="EZ37" si="539">EZ30+EZ34</f>
        <v>526315.79</v>
      </c>
      <c r="FA37" s="680">
        <f t="shared" ref="FA37" si="540">FA30+FA34</f>
        <v>25000000</v>
      </c>
      <c r="FB37" s="447">
        <f t="shared" si="538"/>
        <v>25526315.789999999</v>
      </c>
      <c r="FC37" s="607">
        <f t="shared" ref="FC37" si="541">FC30+FC34</f>
        <v>526315.79</v>
      </c>
      <c r="FD37" s="680">
        <f t="shared" ref="FD37" si="542">FD30+FD34</f>
        <v>25000000</v>
      </c>
      <c r="FE37" s="473">
        <f t="shared" si="536"/>
        <v>46995475.979999997</v>
      </c>
      <c r="FF37" s="472">
        <f t="shared" si="536"/>
        <v>2349775.98</v>
      </c>
      <c r="FG37" s="766">
        <f t="shared" si="536"/>
        <v>44645700</v>
      </c>
      <c r="FH37" s="447">
        <f t="shared" si="536"/>
        <v>46995475.979999997</v>
      </c>
      <c r="FI37" s="607">
        <f t="shared" si="536"/>
        <v>2349775.98</v>
      </c>
      <c r="FJ37" s="680">
        <f t="shared" si="536"/>
        <v>44645700</v>
      </c>
      <c r="FK37" s="473">
        <f t="shared" ref="FK37:FP37" si="543">FK30+FK34</f>
        <v>179547054.28999999</v>
      </c>
      <c r="FL37" s="472">
        <f t="shared" si="543"/>
        <v>8977354.2899999972</v>
      </c>
      <c r="FM37" s="766">
        <f t="shared" si="543"/>
        <v>170569700</v>
      </c>
      <c r="FN37" s="447">
        <f t="shared" si="543"/>
        <v>82348129.359999999</v>
      </c>
      <c r="FO37" s="607">
        <f t="shared" si="543"/>
        <v>4117407.35</v>
      </c>
      <c r="FP37" s="680">
        <f t="shared" si="543"/>
        <v>78230722.010000005</v>
      </c>
      <c r="FQ37" s="473">
        <f t="shared" ref="FQ37:HJ37" si="544">FQ30+FQ34</f>
        <v>51387500</v>
      </c>
      <c r="FR37" s="472">
        <f t="shared" si="544"/>
        <v>14388500</v>
      </c>
      <c r="FS37" s="766">
        <f t="shared" si="544"/>
        <v>36999000</v>
      </c>
      <c r="FT37" s="447">
        <f t="shared" si="544"/>
        <v>48296830.339999996</v>
      </c>
      <c r="FU37" s="607">
        <f t="shared" si="544"/>
        <v>13523367.289999999</v>
      </c>
      <c r="FV37" s="680">
        <f t="shared" si="544"/>
        <v>34773463.049999997</v>
      </c>
      <c r="FW37" s="473">
        <f t="shared" ref="FW37:GB37" si="545">FW30+FW34</f>
        <v>10944030</v>
      </c>
      <c r="FX37" s="472">
        <f t="shared" si="545"/>
        <v>3064330</v>
      </c>
      <c r="FY37" s="766">
        <f t="shared" si="545"/>
        <v>7879700</v>
      </c>
      <c r="FZ37" s="447">
        <f t="shared" si="545"/>
        <v>0</v>
      </c>
      <c r="GA37" s="607">
        <f t="shared" si="545"/>
        <v>0</v>
      </c>
      <c r="GB37" s="680">
        <f t="shared" si="545"/>
        <v>0</v>
      </c>
      <c r="GC37" s="664">
        <f t="shared" ref="GC37:GD37" si="546">GC30+GC34</f>
        <v>0</v>
      </c>
      <c r="GD37" s="595">
        <f t="shared" si="546"/>
        <v>0</v>
      </c>
      <c r="GE37" s="664">
        <f t="shared" ref="GE37:GL37" si="547">GE30+GE34</f>
        <v>10944030</v>
      </c>
      <c r="GF37" s="595">
        <f t="shared" si="547"/>
        <v>0</v>
      </c>
      <c r="GG37" s="473">
        <f t="shared" si="547"/>
        <v>14654027.779999999</v>
      </c>
      <c r="GH37" s="472">
        <f t="shared" si="547"/>
        <v>4103127.7799999993</v>
      </c>
      <c r="GI37" s="708">
        <f t="shared" si="547"/>
        <v>10550900</v>
      </c>
      <c r="GJ37" s="473">
        <f t="shared" si="547"/>
        <v>11162192.380000001</v>
      </c>
      <c r="GK37" s="472">
        <f t="shared" si="547"/>
        <v>3125413.870000001</v>
      </c>
      <c r="GL37" s="708">
        <f t="shared" si="547"/>
        <v>8036778.5099999998</v>
      </c>
      <c r="GM37" s="473">
        <f t="shared" si="544"/>
        <v>0</v>
      </c>
      <c r="GN37" s="472">
        <f t="shared" si="544"/>
        <v>0</v>
      </c>
      <c r="GO37" s="766">
        <f t="shared" si="544"/>
        <v>0</v>
      </c>
      <c r="GP37" s="447">
        <f t="shared" si="544"/>
        <v>0</v>
      </c>
      <c r="GQ37" s="472">
        <f t="shared" si="544"/>
        <v>0</v>
      </c>
      <c r="GR37" s="708">
        <f t="shared" si="544"/>
        <v>0</v>
      </c>
      <c r="GS37" s="473">
        <f t="shared" si="544"/>
        <v>6003700</v>
      </c>
      <c r="GT37" s="472">
        <f t="shared" si="544"/>
        <v>3000000</v>
      </c>
      <c r="GU37" s="766">
        <f t="shared" si="544"/>
        <v>3003700</v>
      </c>
      <c r="GV37" s="447">
        <f t="shared" si="544"/>
        <v>2826804.55</v>
      </c>
      <c r="GW37" s="472">
        <f t="shared" si="544"/>
        <v>1412531.22</v>
      </c>
      <c r="GX37" s="708">
        <f t="shared" si="544"/>
        <v>1414273.3299999998</v>
      </c>
      <c r="GY37" s="664">
        <f t="shared" si="544"/>
        <v>6003700</v>
      </c>
      <c r="GZ37" s="472">
        <f t="shared" si="544"/>
        <v>3000000</v>
      </c>
      <c r="HA37" s="766">
        <f t="shared" si="544"/>
        <v>3003700</v>
      </c>
      <c r="HB37" s="595">
        <f t="shared" si="544"/>
        <v>2826804.55</v>
      </c>
      <c r="HC37" s="472">
        <f t="shared" si="544"/>
        <v>1412531.22</v>
      </c>
      <c r="HD37" s="708">
        <f t="shared" si="544"/>
        <v>1414273.3299999998</v>
      </c>
      <c r="HE37" s="664">
        <f t="shared" si="544"/>
        <v>0</v>
      </c>
      <c r="HF37" s="472">
        <f t="shared" si="544"/>
        <v>0</v>
      </c>
      <c r="HG37" s="766">
        <f t="shared" si="544"/>
        <v>0</v>
      </c>
      <c r="HH37" s="595">
        <f t="shared" si="544"/>
        <v>0</v>
      </c>
      <c r="HI37" s="472">
        <f t="shared" si="544"/>
        <v>0</v>
      </c>
      <c r="HJ37" s="708">
        <f t="shared" si="544"/>
        <v>0</v>
      </c>
      <c r="HK37" s="473">
        <f t="shared" ref="HK37:HP37" si="548">HK30+HK34</f>
        <v>3740139</v>
      </c>
      <c r="HL37" s="578">
        <f t="shared" si="548"/>
        <v>1047239</v>
      </c>
      <c r="HM37" s="680">
        <f t="shared" si="548"/>
        <v>2692900</v>
      </c>
      <c r="HN37" s="447">
        <f t="shared" si="548"/>
        <v>3740139</v>
      </c>
      <c r="HO37" s="578">
        <f t="shared" si="548"/>
        <v>1047239</v>
      </c>
      <c r="HP37" s="680">
        <f t="shared" si="548"/>
        <v>2692900</v>
      </c>
      <c r="HQ37" s="609">
        <f t="shared" ref="HQ37:IR37" si="549">HQ30+HQ34</f>
        <v>7632620.7599999998</v>
      </c>
      <c r="HR37" s="578">
        <f t="shared" si="549"/>
        <v>2137133.9400000004</v>
      </c>
      <c r="HS37" s="680">
        <f t="shared" si="549"/>
        <v>5495486.8199999994</v>
      </c>
      <c r="HT37" s="447">
        <f t="shared" si="549"/>
        <v>6711457.6600000001</v>
      </c>
      <c r="HU37" s="576">
        <f t="shared" si="549"/>
        <v>1879208.2600000002</v>
      </c>
      <c r="HV37" s="680">
        <f t="shared" si="549"/>
        <v>4832249.3999999994</v>
      </c>
      <c r="HW37" s="473">
        <f t="shared" si="549"/>
        <v>14363490.91</v>
      </c>
      <c r="HX37" s="576">
        <f t="shared" si="549"/>
        <v>4021777.83</v>
      </c>
      <c r="HY37" s="680">
        <f t="shared" si="549"/>
        <v>10341713.08</v>
      </c>
      <c r="HZ37" s="447">
        <f t="shared" si="549"/>
        <v>12227034.040000003</v>
      </c>
      <c r="IA37" s="576">
        <f t="shared" si="549"/>
        <v>3423569.8699999996</v>
      </c>
      <c r="IB37" s="680">
        <f t="shared" si="549"/>
        <v>8803464.1700000018</v>
      </c>
      <c r="IC37" s="576">
        <f t="shared" ref="IC37:ID37" si="550">IC30+IC34</f>
        <v>5302778.13</v>
      </c>
      <c r="ID37" s="680">
        <f t="shared" si="550"/>
        <v>13635713.570000002</v>
      </c>
      <c r="IE37" s="664">
        <f t="shared" si="549"/>
        <v>11497244.34</v>
      </c>
      <c r="IF37" s="576">
        <f t="shared" si="549"/>
        <v>3219228.7499999995</v>
      </c>
      <c r="IG37" s="680">
        <f t="shared" si="549"/>
        <v>8278015.5900000008</v>
      </c>
      <c r="IH37" s="595">
        <f t="shared" si="549"/>
        <v>10467119.200000001</v>
      </c>
      <c r="II37" s="576">
        <f t="shared" si="549"/>
        <v>2930793.68</v>
      </c>
      <c r="IJ37" s="680">
        <f t="shared" si="549"/>
        <v>7536325.5200000005</v>
      </c>
      <c r="IK37" s="595">
        <f t="shared" si="549"/>
        <v>2866246.5700000003</v>
      </c>
      <c r="IL37" s="576">
        <f t="shared" si="549"/>
        <v>802549.08</v>
      </c>
      <c r="IM37" s="680">
        <f t="shared" si="549"/>
        <v>2063697.49</v>
      </c>
      <c r="IN37" s="595">
        <f t="shared" si="549"/>
        <v>1759914.8400000003</v>
      </c>
      <c r="IO37" s="576">
        <f t="shared" si="549"/>
        <v>492776.19000000006</v>
      </c>
      <c r="IP37" s="680">
        <f t="shared" si="549"/>
        <v>1267138.6499999999</v>
      </c>
      <c r="IQ37" s="344">
        <f t="shared" si="549"/>
        <v>136243750</v>
      </c>
      <c r="IR37" s="467">
        <f t="shared" si="549"/>
        <v>0</v>
      </c>
      <c r="IS37" s="708">
        <f t="shared" ref="IS37:JL37" si="551">IS30+IS34</f>
        <v>0</v>
      </c>
      <c r="IT37" s="467">
        <f t="shared" ref="IT37:IY37" si="552">IT30+IT34</f>
        <v>0</v>
      </c>
      <c r="IU37" s="708">
        <f t="shared" si="552"/>
        <v>0</v>
      </c>
      <c r="IV37" s="578">
        <f t="shared" si="552"/>
        <v>25296250</v>
      </c>
      <c r="IW37" s="680">
        <f t="shared" si="552"/>
        <v>65047500</v>
      </c>
      <c r="IX37" s="1600">
        <f t="shared" si="552"/>
        <v>1887800</v>
      </c>
      <c r="IY37" s="708">
        <f t="shared" si="552"/>
        <v>35012200</v>
      </c>
      <c r="IZ37" s="576">
        <f t="shared" ref="IZ37" si="553">IZ30+IZ34</f>
        <v>9000000</v>
      </c>
      <c r="JA37" s="344">
        <f t="shared" si="551"/>
        <v>85390645.699999988</v>
      </c>
      <c r="JB37" s="467">
        <f t="shared" si="551"/>
        <v>0</v>
      </c>
      <c r="JC37" s="708">
        <f t="shared" si="551"/>
        <v>0</v>
      </c>
      <c r="JD37" s="467">
        <f t="shared" ref="JD37:JI37" si="554">JD30+JD34</f>
        <v>0</v>
      </c>
      <c r="JE37" s="708">
        <f t="shared" si="554"/>
        <v>0</v>
      </c>
      <c r="JF37" s="578">
        <f t="shared" si="554"/>
        <v>11095472.92</v>
      </c>
      <c r="JG37" s="680">
        <f t="shared" si="554"/>
        <v>28531216.07</v>
      </c>
      <c r="JH37" s="467">
        <f t="shared" si="554"/>
        <v>1880840.0499999998</v>
      </c>
      <c r="JI37" s="708">
        <f t="shared" si="554"/>
        <v>34883116.660000004</v>
      </c>
      <c r="JJ37" s="467">
        <f t="shared" ref="JJ37" si="555">JJ30+JJ34</f>
        <v>9000000</v>
      </c>
      <c r="JK37" s="510">
        <f t="shared" si="551"/>
        <v>30146806</v>
      </c>
      <c r="JL37" s="467">
        <f t="shared" si="551"/>
        <v>0</v>
      </c>
      <c r="JM37" s="708">
        <f t="shared" ref="JM37" si="556">JM30+JM34</f>
        <v>0</v>
      </c>
      <c r="JN37" s="467">
        <f>JN30+JN34</f>
        <v>8441106</v>
      </c>
      <c r="JO37" s="708">
        <f>JO30+JO34</f>
        <v>21705700</v>
      </c>
      <c r="JP37" s="344">
        <f t="shared" ref="JP37:KG37" si="557">JP30+JP34</f>
        <v>3601228.12</v>
      </c>
      <c r="JQ37" s="467">
        <f t="shared" si="557"/>
        <v>0</v>
      </c>
      <c r="JR37" s="708">
        <f t="shared" si="557"/>
        <v>0</v>
      </c>
      <c r="JS37" s="467">
        <f t="shared" ref="JS37:JT37" si="558">JS30+JS34</f>
        <v>1008343.91</v>
      </c>
      <c r="JT37" s="708">
        <f t="shared" si="558"/>
        <v>2592884.21</v>
      </c>
      <c r="JU37" s="575">
        <f t="shared" si="557"/>
        <v>30146806</v>
      </c>
      <c r="JV37" s="467">
        <f>JV30+JV34</f>
        <v>0</v>
      </c>
      <c r="JW37" s="680">
        <f>JW30+JW34</f>
        <v>0</v>
      </c>
      <c r="JX37" s="467">
        <f>JX30+JX34</f>
        <v>8441106</v>
      </c>
      <c r="JY37" s="708">
        <f>JY30+JY34</f>
        <v>21705700</v>
      </c>
      <c r="JZ37" s="575">
        <f t="shared" si="557"/>
        <v>3601228.12</v>
      </c>
      <c r="KA37" s="467">
        <f>KA30+KA34</f>
        <v>0</v>
      </c>
      <c r="KB37" s="680">
        <f>KB30+KB34</f>
        <v>0</v>
      </c>
      <c r="KC37" s="467">
        <f>KC30+KC34</f>
        <v>1008343.91</v>
      </c>
      <c r="KD37" s="708">
        <f>KD30+KD34</f>
        <v>2592884.21</v>
      </c>
      <c r="KE37" s="573">
        <f t="shared" si="557"/>
        <v>0</v>
      </c>
      <c r="KF37" s="467">
        <f t="shared" ref="KF37" si="559">KF30+KF34</f>
        <v>0</v>
      </c>
      <c r="KG37" s="680">
        <f t="shared" si="557"/>
        <v>0</v>
      </c>
      <c r="KH37" s="467">
        <f>KH30+KH34</f>
        <v>0</v>
      </c>
      <c r="KI37" s="708">
        <f>KI30+KI34</f>
        <v>0</v>
      </c>
      <c r="KJ37" s="573">
        <f t="shared" ref="KJ37:KL37" si="560">KJ30+KJ34</f>
        <v>0</v>
      </c>
      <c r="KK37" s="467">
        <f t="shared" si="560"/>
        <v>0</v>
      </c>
      <c r="KL37" s="680">
        <f t="shared" si="560"/>
        <v>0</v>
      </c>
      <c r="KM37" s="467">
        <f>KM30+KM34</f>
        <v>0</v>
      </c>
      <c r="KN37" s="708">
        <f>KN30+KN34</f>
        <v>0</v>
      </c>
      <c r="KO37" s="611">
        <f t="shared" ref="KO37:LA37" si="561">KO30+KO34</f>
        <v>342198600</v>
      </c>
      <c r="KP37" s="467">
        <f>KP30+KP34</f>
        <v>74109466.669999987</v>
      </c>
      <c r="KQ37" s="677">
        <f t="shared" si="561"/>
        <v>190567200</v>
      </c>
      <c r="KR37" s="597">
        <f>KR30+KR34</f>
        <v>77521933.329999998</v>
      </c>
      <c r="KS37" s="447">
        <f t="shared" ref="KS37" si="562">KS30+KS34</f>
        <v>218179050.84</v>
      </c>
      <c r="KT37" s="597">
        <f t="shared" si="561"/>
        <v>58656620.820000023</v>
      </c>
      <c r="KU37" s="677">
        <f t="shared" si="561"/>
        <v>150831310.75999999</v>
      </c>
      <c r="KV37" s="597">
        <f t="shared" ref="KV37" si="563">KV30+KV34</f>
        <v>8691119.2599999998</v>
      </c>
      <c r="KW37" s="447">
        <f t="shared" si="561"/>
        <v>0</v>
      </c>
      <c r="KX37" s="472">
        <f t="shared" ref="KX37" si="564">KX30+KX34</f>
        <v>0</v>
      </c>
      <c r="KY37" s="447">
        <f t="shared" si="561"/>
        <v>0</v>
      </c>
      <c r="KZ37" s="657"/>
      <c r="LA37" s="447">
        <f t="shared" si="561"/>
        <v>325675092.99000001</v>
      </c>
      <c r="LB37" s="576">
        <f t="shared" ref="LB37:LP37" si="565">LB30+LB34</f>
        <v>10775189.469999989</v>
      </c>
      <c r="LC37" s="680">
        <f t="shared" si="565"/>
        <v>204728600</v>
      </c>
      <c r="LD37" s="576">
        <f t="shared" si="565"/>
        <v>110171303.52</v>
      </c>
      <c r="LE37" s="447">
        <f t="shared" ref="LE37" si="566">LE30+LE34</f>
        <v>210369914.90000001</v>
      </c>
      <c r="LF37" s="576">
        <f t="shared" si="565"/>
        <v>8340458.3200000003</v>
      </c>
      <c r="LG37" s="680">
        <f t="shared" si="565"/>
        <v>158468708.38</v>
      </c>
      <c r="LH37" s="576">
        <f t="shared" si="565"/>
        <v>43560748.200000003</v>
      </c>
      <c r="LI37" s="447">
        <f t="shared" si="565"/>
        <v>202699999.99999997</v>
      </c>
      <c r="LJ37" s="576">
        <f t="shared" si="565"/>
        <v>5112709.59</v>
      </c>
      <c r="LK37" s="680">
        <f t="shared" si="565"/>
        <v>97141482.170000002</v>
      </c>
      <c r="LL37" s="576">
        <f t="shared" si="565"/>
        <v>100445808.23999999</v>
      </c>
      <c r="LM37" s="611">
        <f t="shared" si="565"/>
        <v>114277931.97000001</v>
      </c>
      <c r="LN37" s="576">
        <f t="shared" si="565"/>
        <v>4074605.4399999995</v>
      </c>
      <c r="LO37" s="680">
        <f t="shared" si="565"/>
        <v>77417503.5</v>
      </c>
      <c r="LP37" s="576">
        <f t="shared" si="565"/>
        <v>32785823.030000001</v>
      </c>
      <c r="LQ37" s="575">
        <f t="shared" ref="LQ37:MF37" si="567">LQ30+LQ34</f>
        <v>76955944.660000011</v>
      </c>
      <c r="LR37" s="578">
        <f t="shared" si="567"/>
        <v>0</v>
      </c>
      <c r="LS37" s="680">
        <f t="shared" si="567"/>
        <v>0</v>
      </c>
      <c r="LT37" s="576">
        <f t="shared" ref="LT37" si="568">LT30+LT34</f>
        <v>76955944.660000011</v>
      </c>
      <c r="LU37" s="573">
        <f t="shared" si="567"/>
        <v>20081875.449999999</v>
      </c>
      <c r="LV37" s="654">
        <f t="shared" si="567"/>
        <v>0</v>
      </c>
      <c r="LW37" s="680">
        <f t="shared" si="567"/>
        <v>0</v>
      </c>
      <c r="LX37" s="576">
        <f t="shared" ref="LX37" si="569">LX30+LX34</f>
        <v>20081875.449999999</v>
      </c>
      <c r="LY37" s="573">
        <f t="shared" si="567"/>
        <v>125744055.34</v>
      </c>
      <c r="LZ37" s="576">
        <f t="shared" si="567"/>
        <v>5112709.59</v>
      </c>
      <c r="MA37" s="705">
        <f t="shared" si="567"/>
        <v>97141482.170000002</v>
      </c>
      <c r="MB37" s="576">
        <f t="shared" ref="MB37" si="570">MB30+MB34</f>
        <v>23489863.579999998</v>
      </c>
      <c r="MC37" s="573">
        <f t="shared" si="567"/>
        <v>94196056.519999996</v>
      </c>
      <c r="MD37" s="576">
        <f t="shared" si="567"/>
        <v>4074605.4399999995</v>
      </c>
      <c r="ME37" s="680">
        <f t="shared" si="567"/>
        <v>77417503.5</v>
      </c>
      <c r="MF37" s="576">
        <f t="shared" si="567"/>
        <v>12703947.58</v>
      </c>
      <c r="MG37" s="447">
        <f t="shared" ref="MG37:MN37" si="571">MG30+MG34</f>
        <v>29047894.740000002</v>
      </c>
      <c r="MH37" s="467">
        <f t="shared" si="571"/>
        <v>1052294.74</v>
      </c>
      <c r="MI37" s="778">
        <f t="shared" si="571"/>
        <v>19993600</v>
      </c>
      <c r="MJ37" s="467">
        <f t="shared" ref="MJ37:MK37" si="572">MJ30+MJ34</f>
        <v>400100</v>
      </c>
      <c r="MK37" s="778">
        <f t="shared" si="572"/>
        <v>7601900</v>
      </c>
      <c r="ML37" s="447">
        <f t="shared" ref="ML37" si="573">ML30+ML34</f>
        <v>11299452.940000001</v>
      </c>
      <c r="MM37" s="467">
        <f t="shared" si="571"/>
        <v>564972.63</v>
      </c>
      <c r="MN37" s="778">
        <f t="shared" si="571"/>
        <v>10734480.310000001</v>
      </c>
      <c r="MO37" s="467">
        <f t="shared" ref="MO37:MP37" si="574">MO30+MO34</f>
        <v>0</v>
      </c>
      <c r="MP37" s="778">
        <f t="shared" si="574"/>
        <v>0</v>
      </c>
      <c r="MQ37" s="595">
        <f t="shared" ref="MQ37" si="575">MQ30+MQ34</f>
        <v>29047894.740000002</v>
      </c>
      <c r="MR37" s="467">
        <f t="shared" ref="MR37:MX37" si="576">MR30+MR34</f>
        <v>1052294.74</v>
      </c>
      <c r="MS37" s="778">
        <f t="shared" si="576"/>
        <v>19993600</v>
      </c>
      <c r="MT37" s="467">
        <f t="shared" ref="MT37:MV37" si="577">MT30+MT34</f>
        <v>400100</v>
      </c>
      <c r="MU37" s="778">
        <f t="shared" si="577"/>
        <v>7601900</v>
      </c>
      <c r="MV37" s="595">
        <f t="shared" si="577"/>
        <v>11299452.940000001</v>
      </c>
      <c r="MW37" s="467">
        <f t="shared" si="576"/>
        <v>564972.63</v>
      </c>
      <c r="MX37" s="778">
        <f t="shared" si="576"/>
        <v>10734480.310000001</v>
      </c>
      <c r="MY37" s="467">
        <f t="shared" ref="MY37:NA37" si="578">MY30+MY34</f>
        <v>0</v>
      </c>
      <c r="MZ37" s="778">
        <f t="shared" si="578"/>
        <v>0</v>
      </c>
      <c r="NA37" s="595">
        <f t="shared" si="578"/>
        <v>0</v>
      </c>
      <c r="NB37" s="467">
        <f t="shared" ref="NB37:NF37" si="579">NB30+NB34</f>
        <v>0</v>
      </c>
      <c r="NC37" s="778">
        <f t="shared" si="579"/>
        <v>0</v>
      </c>
      <c r="ND37" s="467">
        <f t="shared" si="579"/>
        <v>0</v>
      </c>
      <c r="NE37" s="778">
        <f t="shared" si="579"/>
        <v>0</v>
      </c>
      <c r="NF37" s="595">
        <f t="shared" si="579"/>
        <v>0</v>
      </c>
      <c r="NG37" s="467">
        <f t="shared" ref="NG37:NJ37" si="580">NG30+NG34</f>
        <v>0</v>
      </c>
      <c r="NH37" s="778">
        <f t="shared" si="580"/>
        <v>0</v>
      </c>
      <c r="NI37" s="467">
        <f t="shared" si="580"/>
        <v>0</v>
      </c>
      <c r="NJ37" s="778">
        <f t="shared" si="580"/>
        <v>0</v>
      </c>
      <c r="NK37" s="473">
        <f t="shared" ref="NK37:NQ37" si="581">NK30+NK34</f>
        <v>143730436.94999999</v>
      </c>
      <c r="NL37" s="472">
        <f t="shared" si="581"/>
        <v>5891036.9499999881</v>
      </c>
      <c r="NM37" s="766">
        <f t="shared" si="581"/>
        <v>137839400</v>
      </c>
      <c r="NN37" s="447">
        <f t="shared" si="581"/>
        <v>58528754.009999998</v>
      </c>
      <c r="NO37" s="607">
        <f t="shared" si="581"/>
        <v>1630952.8099999949</v>
      </c>
      <c r="NP37" s="680">
        <f t="shared" si="581"/>
        <v>56897801.200000003</v>
      </c>
      <c r="NQ37" s="447">
        <f t="shared" si="581"/>
        <v>458302101.00999999</v>
      </c>
      <c r="NR37" s="467">
        <f t="shared" ref="NR37:NW37" si="582">NR30+NR34</f>
        <v>0</v>
      </c>
      <c r="NS37" s="777">
        <f t="shared" si="582"/>
        <v>0</v>
      </c>
      <c r="NT37" s="467">
        <f t="shared" si="582"/>
        <v>15073131.57</v>
      </c>
      <c r="NU37" s="677">
        <f t="shared" si="582"/>
        <v>286389500</v>
      </c>
      <c r="NV37" s="467">
        <f t="shared" si="582"/>
        <v>29103051.440000001</v>
      </c>
      <c r="NW37" s="778">
        <f t="shared" si="582"/>
        <v>127736418</v>
      </c>
      <c r="NX37" s="447">
        <f t="shared" ref="NX37" si="583">NX30+NX34</f>
        <v>136454963.08000001</v>
      </c>
      <c r="NY37" s="597">
        <f>NY30+NY34</f>
        <v>0</v>
      </c>
      <c r="NZ37" s="677">
        <f>NZ30+NZ34</f>
        <v>0</v>
      </c>
      <c r="OA37" s="597">
        <f>OA30+OA34</f>
        <v>1341800.2400000002</v>
      </c>
      <c r="OB37" s="677">
        <f>OB30+OB34</f>
        <v>25494204.719999999</v>
      </c>
      <c r="OC37" s="467">
        <f t="shared" ref="OC37:OE37" si="584">OC30+OC34</f>
        <v>26742025.890000001</v>
      </c>
      <c r="OD37" s="677">
        <f t="shared" si="584"/>
        <v>82876932.230000004</v>
      </c>
      <c r="OE37" s="447">
        <f t="shared" si="584"/>
        <v>30236421.050000001</v>
      </c>
      <c r="OF37" s="467">
        <f>OF30+OF34</f>
        <v>1511821.0500000007</v>
      </c>
      <c r="OG37" s="778">
        <f>OG30+OG34</f>
        <v>28724600</v>
      </c>
      <c r="OH37" s="597">
        <f t="shared" ref="OH37:OI37" si="585">OH30+OH34</f>
        <v>0</v>
      </c>
      <c r="OI37" s="677">
        <f t="shared" si="585"/>
        <v>0</v>
      </c>
      <c r="OJ37" s="467">
        <f>OJ30+OJ34</f>
        <v>0</v>
      </c>
      <c r="OK37" s="778">
        <f>OK30+OK34</f>
        <v>0</v>
      </c>
      <c r="OL37" s="447">
        <f t="shared" ref="OL37:OS37" si="586">OL30+OL34</f>
        <v>11877721.65</v>
      </c>
      <c r="OM37" s="467">
        <f>OM30+OM34</f>
        <v>593886.04000000097</v>
      </c>
      <c r="ON37" s="778">
        <f>ON30+ON34</f>
        <v>11283835.609999999</v>
      </c>
      <c r="OO37" s="597">
        <f t="shared" ref="OO37:OP37" si="587">OO30+OO34</f>
        <v>0</v>
      </c>
      <c r="OP37" s="677">
        <f t="shared" si="587"/>
        <v>0</v>
      </c>
      <c r="OQ37" s="467">
        <f>OQ30+OQ34</f>
        <v>0</v>
      </c>
      <c r="OR37" s="778">
        <f>OR30+OR34</f>
        <v>0</v>
      </c>
      <c r="OS37" s="595">
        <f t="shared" si="586"/>
        <v>30236421.050000001</v>
      </c>
      <c r="OT37" s="467">
        <f>OT30+OT34</f>
        <v>1511821.0500000007</v>
      </c>
      <c r="OU37" s="778">
        <f>OU30+OU34</f>
        <v>28724600</v>
      </c>
      <c r="OV37" s="467">
        <f t="shared" ref="OV37:OW37" si="588">OV30+OV34</f>
        <v>0</v>
      </c>
      <c r="OW37" s="778">
        <f t="shared" si="588"/>
        <v>0</v>
      </c>
      <c r="OX37" s="467">
        <f>OX30+OX34</f>
        <v>0</v>
      </c>
      <c r="OY37" s="778">
        <f>OY30+OY34</f>
        <v>0</v>
      </c>
      <c r="OZ37" s="595">
        <f t="shared" ref="OZ37" si="589">OZ30+OZ34</f>
        <v>11877721.65</v>
      </c>
      <c r="PA37" s="467">
        <f>PA30+PA34</f>
        <v>593886.04000000097</v>
      </c>
      <c r="PB37" s="778">
        <f>PB30+PB34</f>
        <v>11283835.609999999</v>
      </c>
      <c r="PC37" s="467">
        <f t="shared" ref="PC37:PD37" si="590">PC30+PC34</f>
        <v>0</v>
      </c>
      <c r="PD37" s="778">
        <f t="shared" si="590"/>
        <v>0</v>
      </c>
      <c r="PE37" s="467">
        <f>PE30+PE34</f>
        <v>0</v>
      </c>
      <c r="PF37" s="778">
        <f>PF30+PF34</f>
        <v>0</v>
      </c>
      <c r="PG37" s="595">
        <f t="shared" ref="PG37" si="591">PG30+PG34</f>
        <v>0</v>
      </c>
      <c r="PH37" s="467">
        <f t="shared" ref="PH37:PM37" si="592">PH30+PH34</f>
        <v>0</v>
      </c>
      <c r="PI37" s="778">
        <f t="shared" si="592"/>
        <v>0</v>
      </c>
      <c r="PJ37" s="657">
        <f t="shared" si="592"/>
        <v>0</v>
      </c>
      <c r="PK37" s="777">
        <f t="shared" si="592"/>
        <v>0</v>
      </c>
      <c r="PL37" s="467">
        <f t="shared" si="592"/>
        <v>0</v>
      </c>
      <c r="PM37" s="778">
        <f t="shared" si="592"/>
        <v>0</v>
      </c>
      <c r="PN37" s="595">
        <f t="shared" ref="PN37" si="593">PN30+PN34</f>
        <v>0</v>
      </c>
      <c r="PO37" s="467">
        <f t="shared" ref="PO37:QG37" si="594">PO30+PO34</f>
        <v>0</v>
      </c>
      <c r="PP37" s="778">
        <f t="shared" si="594"/>
        <v>0</v>
      </c>
      <c r="PQ37" s="597">
        <f t="shared" si="594"/>
        <v>0</v>
      </c>
      <c r="PR37" s="677">
        <f t="shared" si="594"/>
        <v>0</v>
      </c>
      <c r="PS37" s="467">
        <f t="shared" si="594"/>
        <v>0</v>
      </c>
      <c r="PT37" s="778">
        <f t="shared" si="594"/>
        <v>0</v>
      </c>
      <c r="PU37" s="447">
        <f t="shared" si="594"/>
        <v>32702694.730000004</v>
      </c>
      <c r="PV37" s="576">
        <f t="shared" si="594"/>
        <v>1635134.73</v>
      </c>
      <c r="PW37" s="680">
        <f t="shared" si="594"/>
        <v>31067560</v>
      </c>
      <c r="PX37" s="447">
        <f t="shared" si="594"/>
        <v>0</v>
      </c>
      <c r="PY37" s="576">
        <f t="shared" si="594"/>
        <v>0</v>
      </c>
      <c r="PZ37" s="680">
        <f t="shared" si="594"/>
        <v>0</v>
      </c>
      <c r="QA37" s="611">
        <f t="shared" si="594"/>
        <v>9318778.9499999993</v>
      </c>
      <c r="QB37" s="576">
        <f t="shared" si="594"/>
        <v>465938.95</v>
      </c>
      <c r="QC37" s="680">
        <f t="shared" si="594"/>
        <v>8852840</v>
      </c>
      <c r="QD37" s="447">
        <f t="shared" ref="QD37" si="595">QD30+QD34</f>
        <v>0</v>
      </c>
      <c r="QE37" s="576">
        <f t="shared" si="594"/>
        <v>0</v>
      </c>
      <c r="QF37" s="680">
        <f t="shared" si="594"/>
        <v>0</v>
      </c>
      <c r="QG37" s="595">
        <f t="shared" si="594"/>
        <v>9318778.9499999993</v>
      </c>
      <c r="QH37" s="576">
        <f t="shared" ref="QH37:QJ37" si="596">QH30+QH34</f>
        <v>465938.95</v>
      </c>
      <c r="QI37" s="680">
        <f t="shared" si="596"/>
        <v>8852840</v>
      </c>
      <c r="QJ37" s="595">
        <f t="shared" si="596"/>
        <v>0</v>
      </c>
      <c r="QK37" s="576">
        <f t="shared" ref="QK37:QM37" si="597">QK30+QK34</f>
        <v>0</v>
      </c>
      <c r="QL37" s="680">
        <f t="shared" si="597"/>
        <v>0</v>
      </c>
      <c r="QM37" s="595">
        <f t="shared" si="597"/>
        <v>0</v>
      </c>
      <c r="QN37" s="576">
        <f t="shared" ref="QN37:QP37" si="598">QN30+QN34</f>
        <v>0</v>
      </c>
      <c r="QO37" s="680">
        <f t="shared" si="598"/>
        <v>0</v>
      </c>
      <c r="QP37" s="595">
        <f t="shared" si="598"/>
        <v>0</v>
      </c>
      <c r="QQ37" s="576">
        <f t="shared" ref="QQ37:QR37" si="599">QQ30+QQ34</f>
        <v>0</v>
      </c>
      <c r="QR37" s="680">
        <f t="shared" si="599"/>
        <v>0</v>
      </c>
      <c r="QS37" s="447">
        <f t="shared" ref="QS37:RN37" si="600">QS30+QS34</f>
        <v>727014855.42999995</v>
      </c>
      <c r="QT37" s="447">
        <f t="shared" si="600"/>
        <v>423200217.09000003</v>
      </c>
      <c r="QU37" s="447">
        <f t="shared" si="600"/>
        <v>131835964.41</v>
      </c>
      <c r="QV37" s="447">
        <f t="shared" si="600"/>
        <v>45119862.960000008</v>
      </c>
      <c r="QW37" s="591">
        <f t="shared" si="600"/>
        <v>74411319.589999989</v>
      </c>
      <c r="QX37" s="573">
        <f t="shared" si="600"/>
        <v>13950925</v>
      </c>
      <c r="QY37" s="591">
        <f t="shared" si="600"/>
        <v>57424644.82</v>
      </c>
      <c r="QZ37" s="573">
        <f t="shared" si="600"/>
        <v>31168937.960000001</v>
      </c>
      <c r="RA37" s="344">
        <f t="shared" si="600"/>
        <v>12274004483.219997</v>
      </c>
      <c r="RB37" s="572">
        <f t="shared" ref="RB37:RC37" si="601">RB30+RB34</f>
        <v>11822050783.219999</v>
      </c>
      <c r="RC37" s="472">
        <f t="shared" si="601"/>
        <v>451953700</v>
      </c>
      <c r="RD37" s="344">
        <f t="shared" si="600"/>
        <v>9161039480.8600006</v>
      </c>
      <c r="RE37" s="572">
        <f t="shared" si="600"/>
        <v>8923230868.6700001</v>
      </c>
      <c r="RF37" s="472">
        <f t="shared" si="600"/>
        <v>237808612.19</v>
      </c>
      <c r="RG37" s="609">
        <f t="shared" si="600"/>
        <v>11214381118.809998</v>
      </c>
      <c r="RH37" s="447">
        <f t="shared" si="600"/>
        <v>8504147668</v>
      </c>
      <c r="RI37" s="512">
        <f t="shared" si="600"/>
        <v>302916480</v>
      </c>
      <c r="RJ37" s="447">
        <f t="shared" si="600"/>
        <v>230296432</v>
      </c>
      <c r="RK37" s="473">
        <f t="shared" si="600"/>
        <v>143448856.41000003</v>
      </c>
      <c r="RL37" s="447">
        <f t="shared" si="600"/>
        <v>96522174</v>
      </c>
      <c r="RM37" s="609">
        <f t="shared" si="600"/>
        <v>32076000</v>
      </c>
      <c r="RN37" s="447">
        <f t="shared" si="600"/>
        <v>20852690.699999999</v>
      </c>
      <c r="RO37" s="609">
        <f t="shared" ref="RO37:TB37" si="602">RO30+RO34</f>
        <v>136800</v>
      </c>
      <c r="RP37" s="447">
        <f t="shared" si="602"/>
        <v>49857.5</v>
      </c>
      <c r="RQ37" s="609">
        <f t="shared" si="602"/>
        <v>8573600</v>
      </c>
      <c r="RR37" s="447">
        <f t="shared" si="602"/>
        <v>4223556</v>
      </c>
      <c r="RS37" s="510">
        <f t="shared" si="602"/>
        <v>8208500</v>
      </c>
      <c r="RT37" s="611">
        <f t="shared" si="602"/>
        <v>6335350</v>
      </c>
      <c r="RU37" s="510">
        <f t="shared" si="602"/>
        <v>9744000</v>
      </c>
      <c r="RV37" s="611">
        <f t="shared" si="602"/>
        <v>8447132</v>
      </c>
      <c r="RW37" s="447">
        <f t="shared" si="602"/>
        <v>461909028</v>
      </c>
      <c r="RX37" s="657">
        <f>RX30+RX34</f>
        <v>129334528</v>
      </c>
      <c r="RY37" s="777">
        <f>RY30+RY34</f>
        <v>332574500</v>
      </c>
      <c r="RZ37" s="447">
        <f t="shared" ref="RZ37" si="603">RZ30+RZ34</f>
        <v>232529105.57999998</v>
      </c>
      <c r="SA37" s="657">
        <f>SA30+SA34</f>
        <v>65108149.670000002</v>
      </c>
      <c r="SB37" s="777">
        <f>SB30+SB34</f>
        <v>167420955.91</v>
      </c>
      <c r="SC37" s="344">
        <f t="shared" ref="SC37:SD37" si="604">SC30+SC34</f>
        <v>17719300</v>
      </c>
      <c r="SD37" s="611">
        <f t="shared" si="604"/>
        <v>0</v>
      </c>
      <c r="SE37" s="344">
        <f t="shared" si="602"/>
        <v>74890800</v>
      </c>
      <c r="SF37" s="572">
        <f t="shared" si="602"/>
        <v>31969800</v>
      </c>
      <c r="SG37" s="1564">
        <f t="shared" si="602"/>
        <v>42921000</v>
      </c>
      <c r="SH37" s="344">
        <f t="shared" si="602"/>
        <v>57635515.079999998</v>
      </c>
      <c r="SI37" s="657">
        <f t="shared" si="602"/>
        <v>27156445</v>
      </c>
      <c r="SJ37" s="778">
        <f t="shared" si="602"/>
        <v>30479070.080000002</v>
      </c>
      <c r="SK37" s="344">
        <f t="shared" si="602"/>
        <v>1914974612.53</v>
      </c>
      <c r="SL37" s="510">
        <f t="shared" si="602"/>
        <v>1517700303.5900002</v>
      </c>
      <c r="SM37" s="344">
        <f t="shared" si="602"/>
        <v>458955000</v>
      </c>
      <c r="SN37" s="572">
        <f t="shared" si="602"/>
        <v>0</v>
      </c>
      <c r="SO37" s="680">
        <f t="shared" si="602"/>
        <v>458955000</v>
      </c>
      <c r="SP37" s="344">
        <f t="shared" si="602"/>
        <v>332262886.93000007</v>
      </c>
      <c r="SQ37" s="572">
        <f t="shared" si="602"/>
        <v>0</v>
      </c>
      <c r="SR37" s="680">
        <f t="shared" si="602"/>
        <v>332262886.93000007</v>
      </c>
      <c r="SS37" s="344">
        <f t="shared" si="602"/>
        <v>0</v>
      </c>
      <c r="ST37" s="708">
        <f t="shared" ref="ST37:SW37" si="605">ST30+ST34</f>
        <v>0</v>
      </c>
      <c r="SU37" s="680">
        <f t="shared" ref="SU37" si="606">SU30+SU34</f>
        <v>0</v>
      </c>
      <c r="SV37" s="344">
        <f t="shared" si="605"/>
        <v>0</v>
      </c>
      <c r="SW37" s="680">
        <f t="shared" si="605"/>
        <v>0</v>
      </c>
      <c r="SX37" s="680">
        <f t="shared" ref="SX37" si="607">SX30+SX34</f>
        <v>0</v>
      </c>
      <c r="SY37" s="344">
        <f t="shared" si="602"/>
        <v>506290000</v>
      </c>
      <c r="SZ37" s="677">
        <f t="shared" si="602"/>
        <v>506290000</v>
      </c>
      <c r="TA37" s="344">
        <f t="shared" si="602"/>
        <v>506290000</v>
      </c>
      <c r="TB37" s="677">
        <f t="shared" si="602"/>
        <v>506290000</v>
      </c>
      <c r="TC37" s="344">
        <f t="shared" ref="TC37:VG37" si="608">TC30+TC34</f>
        <v>0</v>
      </c>
      <c r="TD37" s="677">
        <f t="shared" si="608"/>
        <v>0</v>
      </c>
      <c r="TE37" s="344">
        <f t="shared" si="608"/>
        <v>0</v>
      </c>
      <c r="TF37" s="677">
        <f t="shared" si="608"/>
        <v>0</v>
      </c>
      <c r="TG37" s="573">
        <f t="shared" si="608"/>
        <v>0</v>
      </c>
      <c r="TH37" s="573">
        <f t="shared" si="608"/>
        <v>0</v>
      </c>
      <c r="TI37" s="573">
        <f t="shared" si="608"/>
        <v>0</v>
      </c>
      <c r="TJ37" s="573">
        <f t="shared" si="608"/>
        <v>0</v>
      </c>
      <c r="TK37" s="344">
        <f t="shared" si="608"/>
        <v>0</v>
      </c>
      <c r="TL37" s="576">
        <f t="shared" si="608"/>
        <v>0</v>
      </c>
      <c r="TM37" s="680">
        <f t="shared" si="608"/>
        <v>0</v>
      </c>
      <c r="TN37" s="344">
        <f t="shared" si="608"/>
        <v>0</v>
      </c>
      <c r="TO37" s="576">
        <f t="shared" si="608"/>
        <v>0</v>
      </c>
      <c r="TP37" s="680">
        <f t="shared" si="608"/>
        <v>0</v>
      </c>
      <c r="TQ37" s="344">
        <f t="shared" si="608"/>
        <v>276117432</v>
      </c>
      <c r="TR37" s="576">
        <f t="shared" si="608"/>
        <v>106117432</v>
      </c>
      <c r="TS37" s="680">
        <f t="shared" si="608"/>
        <v>170000000</v>
      </c>
      <c r="TT37" s="344">
        <f t="shared" si="608"/>
        <v>169152288.16999999</v>
      </c>
      <c r="TU37" s="576">
        <f t="shared" si="608"/>
        <v>21401568</v>
      </c>
      <c r="TV37" s="680">
        <f t="shared" si="608"/>
        <v>147750720.16999999</v>
      </c>
      <c r="TW37" s="594">
        <f t="shared" si="608"/>
        <v>0</v>
      </c>
      <c r="TX37" s="594">
        <f t="shared" si="608"/>
        <v>0</v>
      </c>
      <c r="TY37" s="594">
        <f t="shared" si="608"/>
        <v>276117432</v>
      </c>
      <c r="TZ37" s="594">
        <f t="shared" si="608"/>
        <v>169152288.16999999</v>
      </c>
      <c r="UA37" s="344">
        <f t="shared" ref="UA37:UG37" si="609">UA30+UA34</f>
        <v>1000000</v>
      </c>
      <c r="UB37" s="576">
        <f t="shared" si="609"/>
        <v>0</v>
      </c>
      <c r="UC37" s="680">
        <f t="shared" si="609"/>
        <v>1000000</v>
      </c>
      <c r="UD37" s="344">
        <f t="shared" si="609"/>
        <v>1000000</v>
      </c>
      <c r="UE37" s="576">
        <f t="shared" si="609"/>
        <v>0</v>
      </c>
      <c r="UF37" s="680">
        <f t="shared" si="609"/>
        <v>1000000</v>
      </c>
      <c r="UG37" s="344">
        <f t="shared" si="609"/>
        <v>5000000</v>
      </c>
      <c r="UH37" s="576">
        <f t="shared" ref="UH37:UM37" si="610">UH30+UH34</f>
        <v>0</v>
      </c>
      <c r="UI37" s="680">
        <f t="shared" si="610"/>
        <v>5000000</v>
      </c>
      <c r="UJ37" s="680">
        <f t="shared" ref="UJ37" si="611">UJ30+UJ34</f>
        <v>0</v>
      </c>
      <c r="UK37" s="344">
        <f t="shared" si="610"/>
        <v>5000000</v>
      </c>
      <c r="UL37" s="576">
        <f t="shared" si="610"/>
        <v>0</v>
      </c>
      <c r="UM37" s="680">
        <f t="shared" si="610"/>
        <v>5000000</v>
      </c>
      <c r="UN37" s="680">
        <f t="shared" ref="UN37" si="612">UN30+UN34</f>
        <v>0</v>
      </c>
      <c r="UO37" s="344">
        <f t="shared" si="608"/>
        <v>550036000</v>
      </c>
      <c r="UP37" s="576">
        <f t="shared" ref="UP37:UR37" si="613">UP30+UP34</f>
        <v>0</v>
      </c>
      <c r="UQ37" s="680">
        <f t="shared" si="613"/>
        <v>0</v>
      </c>
      <c r="UR37" s="576">
        <f t="shared" si="613"/>
        <v>250000000</v>
      </c>
      <c r="US37" s="576">
        <f t="shared" si="608"/>
        <v>0</v>
      </c>
      <c r="UT37" s="576">
        <f>UT30+UT34</f>
        <v>265036000</v>
      </c>
      <c r="UU37" s="576">
        <f t="shared" ref="UU37:UV37" si="614">UU30+UU34</f>
        <v>35000000</v>
      </c>
      <c r="UV37" s="344">
        <f t="shared" si="614"/>
        <v>402830382.31999999</v>
      </c>
      <c r="UW37" s="576">
        <f t="shared" ref="UW37:UY37" si="615">UW30+UW34</f>
        <v>0</v>
      </c>
      <c r="UX37" s="680">
        <f t="shared" si="615"/>
        <v>0</v>
      </c>
      <c r="UY37" s="576">
        <f t="shared" si="615"/>
        <v>102794382.31999999</v>
      </c>
      <c r="UZ37" s="578">
        <f t="shared" si="608"/>
        <v>0</v>
      </c>
      <c r="VA37" s="576">
        <f t="shared" ref="VA37" si="616">VA30+VA34</f>
        <v>265036000</v>
      </c>
      <c r="VB37" s="578">
        <f t="shared" ref="VB37" si="617">VB30+VB34</f>
        <v>35000000</v>
      </c>
      <c r="VC37" s="344">
        <f t="shared" ref="VC37" si="618">VC30+VC34</f>
        <v>117576180.53000002</v>
      </c>
      <c r="VD37" s="576">
        <f t="shared" si="608"/>
        <v>50530208.899999999</v>
      </c>
      <c r="VE37" s="576">
        <f t="shared" ref="VE37" si="619">VE30+VE34</f>
        <v>67045971.630000003</v>
      </c>
      <c r="VF37" s="344">
        <f t="shared" si="608"/>
        <v>101164746.17</v>
      </c>
      <c r="VG37" s="576">
        <f t="shared" si="608"/>
        <v>34118774.540000007</v>
      </c>
      <c r="VH37" s="576">
        <f t="shared" ref="VH37" si="620">VH30+VH34</f>
        <v>67045971.630000003</v>
      </c>
      <c r="VI37" s="594">
        <f t="shared" ref="VI37" si="621">VI30+VI34</f>
        <v>113383023.74000001</v>
      </c>
      <c r="VJ37" s="576">
        <f t="shared" ref="VJ37:WL37" si="622">VJ30+VJ34</f>
        <v>50530208.899999999</v>
      </c>
      <c r="VK37" s="576">
        <f t="shared" ref="VK37" si="623">VK30+VK34</f>
        <v>62852814.840000004</v>
      </c>
      <c r="VL37" s="594">
        <f t="shared" ref="VL37:VN37" si="624">VL30+VL34</f>
        <v>96971589.38000001</v>
      </c>
      <c r="VM37" s="576">
        <f t="shared" si="624"/>
        <v>34118774.540000007</v>
      </c>
      <c r="VN37" s="576">
        <f t="shared" si="624"/>
        <v>62852814.840000004</v>
      </c>
      <c r="VO37" s="594">
        <f t="shared" ref="VO37" si="625">VO30+VO34</f>
        <v>4193156.79</v>
      </c>
      <c r="VP37" s="576">
        <f t="shared" si="622"/>
        <v>0</v>
      </c>
      <c r="VQ37" s="576"/>
      <c r="VR37" s="594">
        <f t="shared" si="622"/>
        <v>4193156.79</v>
      </c>
      <c r="VS37" s="576">
        <f t="shared" si="622"/>
        <v>0</v>
      </c>
      <c r="VT37" s="576">
        <f t="shared" ref="VT37" si="626">VT30+VT34</f>
        <v>4193156.79</v>
      </c>
      <c r="VU37" s="570">
        <f t="shared" si="622"/>
        <v>1414184000</v>
      </c>
      <c r="VV37" s="344">
        <f t="shared" si="622"/>
        <v>1502661967.4100001</v>
      </c>
      <c r="VW37" s="344">
        <f t="shared" si="622"/>
        <v>1504000000</v>
      </c>
      <c r="VX37" s="344">
        <f t="shared" si="622"/>
        <v>1504000000</v>
      </c>
      <c r="VY37" s="344">
        <f t="shared" si="622"/>
        <v>2300000</v>
      </c>
      <c r="VZ37" s="344">
        <f t="shared" si="622"/>
        <v>2300000</v>
      </c>
      <c r="WA37" s="573">
        <f t="shared" si="622"/>
        <v>2300000</v>
      </c>
      <c r="WB37" s="573">
        <f t="shared" si="622"/>
        <v>2300000</v>
      </c>
      <c r="WC37" s="573">
        <f t="shared" si="622"/>
        <v>0</v>
      </c>
      <c r="WD37" s="573">
        <f t="shared" si="622"/>
        <v>0</v>
      </c>
      <c r="WE37" s="344">
        <f t="shared" si="622"/>
        <v>-87700000</v>
      </c>
      <c r="WF37" s="344">
        <f t="shared" si="622"/>
        <v>-1850000</v>
      </c>
      <c r="WG37" s="344">
        <f t="shared" si="622"/>
        <v>-4416000</v>
      </c>
      <c r="WH37" s="344">
        <f t="shared" si="622"/>
        <v>-1788032.59</v>
      </c>
      <c r="WI37" s="573">
        <f t="shared" si="622"/>
        <v>-4416000</v>
      </c>
      <c r="WJ37" s="573">
        <f t="shared" si="622"/>
        <v>-1788032.59</v>
      </c>
      <c r="WK37" s="573">
        <f t="shared" si="622"/>
        <v>0</v>
      </c>
      <c r="WL37" s="573">
        <f t="shared" si="622"/>
        <v>0</v>
      </c>
      <c r="WM37" s="252">
        <f>'Проверочная  таблица'!WE37+'Проверочная  таблица'!WG37</f>
        <v>-92116000</v>
      </c>
      <c r="WN37" s="252">
        <f>'Проверочная  таблица'!WF37+'Проверочная  таблица'!WH37</f>
        <v>-3638032.59</v>
      </c>
    </row>
    <row r="38" spans="1:612" s="395" customFormat="1" ht="16.5" customHeight="1" x14ac:dyDescent="0.25">
      <c r="A38" s="223"/>
      <c r="B38" s="225">
        <f>D38+AI38+'Проверочная  таблица'!RA38</f>
        <v>-1.9073486328125E-6</v>
      </c>
      <c r="C38" s="225">
        <f>E38+AJ39+'Проверочная  таблица'!RD38</f>
        <v>0</v>
      </c>
      <c r="D38" s="225">
        <f>D37-'[1]Дотация  из  ОБ_факт'!$F$43</f>
        <v>0</v>
      </c>
      <c r="E38" s="225">
        <f>3066057531.57-E37</f>
        <v>0</v>
      </c>
      <c r="F38" s="225">
        <f>F37+H37</f>
        <v>1708347686</v>
      </c>
      <c r="G38" s="225">
        <f>G37+I37</f>
        <v>1332082771.23</v>
      </c>
      <c r="H38" s="223"/>
      <c r="I38" s="223"/>
      <c r="J38" s="223"/>
      <c r="K38" s="223"/>
      <c r="L38" s="223"/>
      <c r="M38" s="223"/>
      <c r="N38" s="225">
        <f>N37+P37</f>
        <v>2532673771</v>
      </c>
      <c r="O38" s="225">
        <f>O37+Q37</f>
        <v>1695274577.3400002</v>
      </c>
      <c r="P38" s="223"/>
      <c r="Q38" s="223"/>
      <c r="R38" s="223"/>
      <c r="S38" s="223"/>
      <c r="T38" s="223"/>
      <c r="U38" s="223"/>
      <c r="V38" s="223"/>
      <c r="W38" s="223"/>
      <c r="X38" s="223"/>
      <c r="Y38" s="223"/>
      <c r="Z38" s="223"/>
      <c r="AA38" s="223"/>
      <c r="AB38" s="223"/>
      <c r="AC38" s="223"/>
      <c r="AD38" s="223"/>
      <c r="AE38" s="223"/>
      <c r="AF38" s="223"/>
      <c r="AG38" s="223"/>
      <c r="AH38" s="223"/>
      <c r="AI38" s="225">
        <f>AI37-[1]Субсидия_факт!$E$35</f>
        <v>0</v>
      </c>
      <c r="AJ38" s="223"/>
      <c r="AK38" s="223"/>
      <c r="AL38" s="238">
        <f>AL37+AX37</f>
        <v>0</v>
      </c>
      <c r="AM38" s="238">
        <f>AM37+AY37+'Прочая  субсидия_МР  и  ГО'!T38</f>
        <v>153443963.92000002</v>
      </c>
      <c r="AN38" s="238"/>
      <c r="AO38" s="488">
        <f>AO37+AZ37</f>
        <v>0</v>
      </c>
      <c r="AP38" s="488">
        <f>AP37</f>
        <v>0</v>
      </c>
      <c r="AQ38" s="223"/>
      <c r="AR38" s="488">
        <f>AR37+BB37</f>
        <v>0</v>
      </c>
      <c r="AS38" s="225">
        <f>AS37+BC37+'Прочая  субсидия_МР  и  ГО'!U38</f>
        <v>68075132.200000003</v>
      </c>
      <c r="AT38" s="225"/>
      <c r="AU38" s="488">
        <f>AU37+BD37</f>
        <v>0</v>
      </c>
      <c r="AV38" s="488">
        <f>AV37</f>
        <v>0</v>
      </c>
      <c r="AW38" s="223"/>
      <c r="AX38" s="237"/>
      <c r="AY38" s="225"/>
      <c r="AZ38" s="225"/>
      <c r="BA38" s="223"/>
      <c r="BB38" s="223"/>
      <c r="BC38" s="225"/>
      <c r="BD38" s="225"/>
      <c r="BE38" s="223"/>
      <c r="BF38" s="225"/>
      <c r="BG38" s="225"/>
      <c r="BH38" s="225"/>
      <c r="BI38" s="223"/>
      <c r="BJ38" s="225"/>
      <c r="BK38" s="225"/>
      <c r="BL38" s="225"/>
      <c r="BM38" s="223"/>
      <c r="BN38" s="225"/>
      <c r="BO38" s="225"/>
      <c r="BP38" s="225"/>
      <c r="BQ38" s="223"/>
      <c r="BR38" s="225"/>
      <c r="BS38" s="225"/>
      <c r="BT38" s="225"/>
      <c r="BU38" s="238">
        <f t="shared" ref="BU38:CC38" si="627">BU37+CE37</f>
        <v>1694563175.7600002</v>
      </c>
      <c r="BV38" s="238">
        <f t="shared" si="627"/>
        <v>213944999.85000002</v>
      </c>
      <c r="BW38" s="238">
        <f t="shared" si="627"/>
        <v>640021078.45999992</v>
      </c>
      <c r="BX38" s="238">
        <f t="shared" si="627"/>
        <v>170000000</v>
      </c>
      <c r="BY38" s="238">
        <f t="shared" si="627"/>
        <v>670597097.45000005</v>
      </c>
      <c r="BZ38" s="238">
        <f t="shared" si="627"/>
        <v>905588400.76999998</v>
      </c>
      <c r="CA38" s="238">
        <f t="shared" si="627"/>
        <v>90813101.620000005</v>
      </c>
      <c r="CB38" s="238">
        <f t="shared" si="627"/>
        <v>436119762.78999996</v>
      </c>
      <c r="CC38" s="238">
        <f t="shared" si="627"/>
        <v>128199146.23999999</v>
      </c>
      <c r="CD38" s="818">
        <f t="shared" ref="CD38" si="628">CD37+CN37</f>
        <v>250456390.12</v>
      </c>
      <c r="CE38" s="237"/>
      <c r="CF38" s="237"/>
      <c r="CG38" s="237"/>
      <c r="CH38" s="237"/>
      <c r="CJ38" s="237"/>
      <c r="CK38" s="237"/>
      <c r="CL38" s="237"/>
      <c r="CM38" s="237"/>
      <c r="CO38" s="237"/>
      <c r="CP38" s="237"/>
      <c r="CQ38" s="237"/>
      <c r="CR38" s="237"/>
      <c r="CS38" s="225">
        <f>CS37+CU37</f>
        <v>798263276.51999998</v>
      </c>
      <c r="CT38" s="225">
        <f>CT37+CV37</f>
        <v>641786815.81999993</v>
      </c>
      <c r="CU38" s="223"/>
      <c r="CV38" s="223"/>
      <c r="CW38" s="223"/>
      <c r="CX38" s="223"/>
      <c r="CY38" s="223"/>
      <c r="CZ38" s="223"/>
      <c r="DA38" s="225">
        <f>DA37+DC37</f>
        <v>98609360.170000002</v>
      </c>
      <c r="DB38" s="225">
        <f>DB37+DD37</f>
        <v>79198760.790000007</v>
      </c>
      <c r="DC38" s="223"/>
      <c r="DD38" s="223"/>
      <c r="DE38" s="223"/>
      <c r="DF38" s="223"/>
      <c r="DG38" s="223"/>
      <c r="DH38" s="223"/>
      <c r="DI38" s="239"/>
      <c r="DJ38" s="239"/>
      <c r="DK38" s="239"/>
      <c r="DL38" s="239"/>
      <c r="DM38" s="239"/>
      <c r="DN38" s="239"/>
      <c r="DO38" s="239"/>
      <c r="DP38" s="239"/>
      <c r="DQ38" s="239"/>
      <c r="DR38" s="239"/>
      <c r="DS38" s="239"/>
      <c r="DT38" s="239"/>
      <c r="DU38" s="239"/>
      <c r="DV38" s="239"/>
      <c r="DW38" s="239"/>
      <c r="DX38" s="239"/>
      <c r="DY38" s="239"/>
      <c r="DZ38" s="239"/>
      <c r="EA38" s="239"/>
      <c r="EB38" s="239"/>
      <c r="EC38" s="239"/>
      <c r="ED38" s="239"/>
      <c r="EE38" s="239"/>
      <c r="EF38" s="239"/>
      <c r="EG38" s="239"/>
      <c r="EH38" s="239"/>
      <c r="EI38" s="239"/>
      <c r="EJ38" s="239"/>
      <c r="EK38" s="237"/>
      <c r="EL38" s="237"/>
      <c r="EM38" s="237"/>
      <c r="EN38" s="237"/>
      <c r="EO38" s="237"/>
      <c r="EP38" s="237"/>
      <c r="EQ38" s="237"/>
      <c r="ER38" s="237"/>
      <c r="ES38" s="237"/>
      <c r="ET38" s="237"/>
      <c r="EU38" s="237"/>
      <c r="EV38" s="237"/>
      <c r="EW38" s="237"/>
      <c r="EX38" s="237"/>
      <c r="EY38" s="239"/>
      <c r="EZ38" s="239"/>
      <c r="FA38" s="239"/>
      <c r="FB38" s="239"/>
      <c r="FC38" s="239"/>
      <c r="FD38" s="239"/>
      <c r="FE38" s="239"/>
      <c r="FF38" s="239"/>
      <c r="FG38" s="239"/>
      <c r="FH38" s="239"/>
      <c r="FI38" s="239"/>
      <c r="FJ38" s="239"/>
      <c r="FK38" s="239"/>
      <c r="FL38" s="239"/>
      <c r="FM38" s="239"/>
      <c r="FN38" s="239"/>
      <c r="FO38" s="239"/>
      <c r="FP38" s="239"/>
      <c r="FQ38" s="239"/>
      <c r="FR38" s="239">
        <f>FR37+FX37</f>
        <v>17452830</v>
      </c>
      <c r="FS38" s="239">
        <f>FS37+FY37</f>
        <v>44878700</v>
      </c>
      <c r="FT38" s="239"/>
      <c r="FU38" s="239">
        <f>FU37+GA37</f>
        <v>13523367.289999999</v>
      </c>
      <c r="FV38" s="239">
        <f>FV37+GB37</f>
        <v>34773463.049999997</v>
      </c>
      <c r="FW38" s="239"/>
      <c r="FX38" s="239"/>
      <c r="FY38" s="239"/>
      <c r="FZ38" s="239"/>
      <c r="GA38" s="239"/>
      <c r="GB38" s="239"/>
      <c r="GC38" s="239"/>
      <c r="GD38" s="239"/>
      <c r="GE38" s="239"/>
      <c r="GF38" s="239"/>
      <c r="GG38" s="239"/>
      <c r="GH38" s="239"/>
      <c r="GI38" s="239"/>
      <c r="GJ38" s="239"/>
      <c r="GK38" s="239"/>
      <c r="GL38" s="239"/>
      <c r="GM38" s="239">
        <f>GM37+GS37</f>
        <v>6003700</v>
      </c>
      <c r="GN38" s="239">
        <f>GN37+GT37</f>
        <v>3000000</v>
      </c>
      <c r="GO38" s="239">
        <f>GO37+GU37</f>
        <v>3003700</v>
      </c>
      <c r="GP38" s="239"/>
      <c r="GQ38" s="239">
        <f>GQ37+GW37</f>
        <v>1412531.22</v>
      </c>
      <c r="GR38" s="239">
        <f>GR37+GX37</f>
        <v>1414273.3299999998</v>
      </c>
      <c r="GS38" s="239"/>
      <c r="GT38" s="239"/>
      <c r="GU38" s="239"/>
      <c r="GV38" s="239"/>
      <c r="GW38" s="239"/>
      <c r="GX38" s="239"/>
      <c r="GY38" s="239"/>
      <c r="GZ38" s="239"/>
      <c r="HA38" s="239"/>
      <c r="HB38" s="239"/>
      <c r="HC38" s="239"/>
      <c r="HD38" s="239"/>
      <c r="HE38" s="239"/>
      <c r="HF38" s="239"/>
      <c r="HG38" s="239"/>
      <c r="HH38" s="239"/>
      <c r="HI38" s="239"/>
      <c r="HJ38" s="239"/>
      <c r="HK38" s="239"/>
      <c r="HL38" s="239"/>
      <c r="HM38" s="239"/>
      <c r="HN38" s="239"/>
      <c r="HO38" s="239"/>
      <c r="HP38" s="239"/>
      <c r="HQ38" s="488">
        <f>HQ37+'Проверочная  таблица'!HW37</f>
        <v>21996111.670000002</v>
      </c>
      <c r="HR38" s="488">
        <f>HR37+'Проверочная  таблица'!HX37</f>
        <v>6158911.7700000005</v>
      </c>
      <c r="HS38" s="488">
        <f>HS37+'Проверочная  таблица'!HY37</f>
        <v>15837199.899999999</v>
      </c>
      <c r="HT38" s="488">
        <f>HT37+'Проверочная  таблица'!HZ37</f>
        <v>18938491.700000003</v>
      </c>
      <c r="HU38" s="488">
        <f>HU37+'Проверочная  таблица'!IA37</f>
        <v>5302778.13</v>
      </c>
      <c r="HV38" s="488">
        <f>HV37+'Проверочная  таблица'!IB37</f>
        <v>13635713.57</v>
      </c>
      <c r="HW38" s="237"/>
      <c r="HX38" s="237"/>
      <c r="HY38" s="237"/>
      <c r="HZ38" s="237"/>
      <c r="IA38" s="1137"/>
      <c r="IB38" s="237"/>
      <c r="IC38" s="1598">
        <f>IC37-HU40</f>
        <v>0</v>
      </c>
      <c r="ID38" s="1598">
        <f>ID37-HV40</f>
        <v>0</v>
      </c>
      <c r="IQ38" s="221"/>
      <c r="IR38" s="650">
        <f>IR37+JL37</f>
        <v>0</v>
      </c>
      <c r="IS38" s="650">
        <f>IS37+JM37</f>
        <v>0</v>
      </c>
      <c r="IT38" s="650">
        <f>IT37+'Проверочная  таблица'!JN37</f>
        <v>8441106</v>
      </c>
      <c r="IU38" s="650">
        <f>IU37+'Проверочная  таблица'!JO37</f>
        <v>21705700</v>
      </c>
      <c r="IV38" s="650"/>
      <c r="IW38" s="650"/>
      <c r="IX38" s="650"/>
      <c r="IY38" s="650"/>
      <c r="IZ38" s="650"/>
      <c r="JA38" s="221"/>
      <c r="JB38" s="650">
        <f>JB37+JQ37</f>
        <v>0</v>
      </c>
      <c r="JC38" s="650">
        <f>JC37+JR37</f>
        <v>0</v>
      </c>
      <c r="JD38" s="650">
        <f>JD37+'Проверочная  таблица'!JS37</f>
        <v>1008343.91</v>
      </c>
      <c r="JE38" s="650">
        <f>JE37+'Проверочная  таблица'!JT37</f>
        <v>2592884.21</v>
      </c>
      <c r="JF38" s="650"/>
      <c r="JG38" s="650"/>
      <c r="JH38" s="650"/>
      <c r="JI38" s="650"/>
      <c r="JJ38" s="650"/>
      <c r="JK38" s="221"/>
      <c r="JL38" s="1412"/>
      <c r="JM38" s="1412"/>
      <c r="JN38" s="221"/>
      <c r="JO38" s="221"/>
      <c r="JP38" s="221"/>
      <c r="JQ38" s="1412"/>
      <c r="JR38" s="1412"/>
      <c r="JS38" s="221"/>
      <c r="JT38" s="221"/>
      <c r="JU38" s="221"/>
      <c r="JV38" s="1412"/>
      <c r="JW38" s="1412"/>
      <c r="JX38" s="221"/>
      <c r="JY38" s="221"/>
      <c r="JZ38" s="221"/>
      <c r="KA38" s="1412"/>
      <c r="KB38" s="1412"/>
      <c r="KC38" s="221"/>
      <c r="KD38" s="221"/>
      <c r="KE38" s="221"/>
      <c r="KF38" s="1412"/>
      <c r="KG38" s="1412"/>
      <c r="KH38" s="221"/>
      <c r="KI38" s="221"/>
      <c r="KJ38" s="221"/>
      <c r="KK38" s="1412"/>
      <c r="KL38" s="1412"/>
      <c r="KM38" s="221"/>
      <c r="KN38" s="221"/>
      <c r="KO38" s="237"/>
      <c r="KP38" s="237"/>
      <c r="KQ38" s="237"/>
      <c r="KR38" s="237"/>
      <c r="KS38" s="237"/>
      <c r="KT38" s="237"/>
      <c r="KW38" s="237"/>
      <c r="KX38" s="237"/>
      <c r="KY38" s="237"/>
      <c r="KZ38" s="237"/>
      <c r="LA38" s="488"/>
      <c r="LB38" s="488">
        <f>LB37+'Проверочная  таблица'!LJ37</f>
        <v>15887899.059999989</v>
      </c>
      <c r="LC38" s="488">
        <f>LC37+'Проверочная  таблица'!LK37</f>
        <v>301870082.17000002</v>
      </c>
      <c r="LD38" s="488">
        <f>LD37+LL37</f>
        <v>210617111.75999999</v>
      </c>
      <c r="LE38" s="488"/>
      <c r="LF38" s="488">
        <f>LF37+'Проверочная  таблица'!LN37</f>
        <v>12415063.76</v>
      </c>
      <c r="LG38" s="488">
        <f>LG37+'Проверочная  таблица'!LO37</f>
        <v>235886211.88</v>
      </c>
      <c r="LH38" s="488">
        <f>LH37+LP37</f>
        <v>76346571.230000004</v>
      </c>
      <c r="LI38" s="237"/>
      <c r="LJ38" s="237"/>
      <c r="LK38" s="237"/>
      <c r="LL38" s="237"/>
      <c r="LM38" s="237"/>
      <c r="LN38" s="237"/>
      <c r="LO38" s="237"/>
      <c r="LP38" s="237"/>
      <c r="MG38" s="237"/>
      <c r="MH38" s="237"/>
      <c r="MI38" s="237"/>
      <c r="MJ38" s="237"/>
      <c r="MK38" s="237"/>
      <c r="ML38" s="237"/>
      <c r="MM38" s="237"/>
      <c r="MN38" s="237"/>
      <c r="MO38" s="237"/>
      <c r="MP38" s="237"/>
      <c r="MQ38" s="237"/>
      <c r="MR38" s="237"/>
      <c r="MS38" s="237"/>
      <c r="MT38" s="237"/>
      <c r="MU38" s="237"/>
      <c r="MV38" s="237"/>
      <c r="MW38" s="237"/>
      <c r="MX38" s="237"/>
      <c r="MY38" s="237"/>
      <c r="MZ38" s="237"/>
      <c r="NA38" s="237"/>
      <c r="NB38" s="237"/>
      <c r="NC38" s="237"/>
      <c r="ND38" s="237"/>
      <c r="NE38" s="237"/>
      <c r="NF38" s="237"/>
      <c r="NG38" s="237"/>
      <c r="NH38" s="237"/>
      <c r="NI38" s="237"/>
      <c r="NJ38" s="237"/>
      <c r="NK38" s="239"/>
      <c r="NL38" s="239"/>
      <c r="NM38" s="239"/>
      <c r="NN38" s="239"/>
      <c r="NO38" s="239"/>
      <c r="NP38" s="239"/>
      <c r="NQ38" s="237"/>
      <c r="NR38" s="488">
        <f>NR37+OH37</f>
        <v>0</v>
      </c>
      <c r="NS38" s="488">
        <f>NS37+OI37</f>
        <v>0</v>
      </c>
      <c r="NT38" s="488">
        <f>NT37</f>
        <v>15073131.57</v>
      </c>
      <c r="NU38" s="488">
        <f>NU37</f>
        <v>286389500</v>
      </c>
      <c r="NV38" s="488">
        <f>NV37+OJ37</f>
        <v>29103051.440000001</v>
      </c>
      <c r="NW38" s="488">
        <f>NW37+OK37</f>
        <v>127736418</v>
      </c>
      <c r="NX38" s="237"/>
      <c r="NY38" s="488">
        <f>NY37+OO37</f>
        <v>0</v>
      </c>
      <c r="NZ38" s="488">
        <f>NZ37+OP37</f>
        <v>0</v>
      </c>
      <c r="OA38" s="488">
        <f>OA37</f>
        <v>1341800.2400000002</v>
      </c>
      <c r="OB38" s="488">
        <f>OB37</f>
        <v>25494204.719999999</v>
      </c>
      <c r="OC38" s="488">
        <f>OC37+OJ37</f>
        <v>26742025.890000001</v>
      </c>
      <c r="OD38" s="488">
        <f>OD37+OK37</f>
        <v>82876932.230000004</v>
      </c>
      <c r="OE38" s="237"/>
      <c r="OF38" s="237"/>
      <c r="OG38" s="237"/>
      <c r="OH38" s="237"/>
      <c r="OI38" s="237"/>
      <c r="OJ38" s="237"/>
      <c r="OK38" s="237"/>
      <c r="OL38" s="237"/>
      <c r="OM38" s="237"/>
      <c r="ON38" s="237"/>
      <c r="OO38" s="237"/>
      <c r="OP38" s="237"/>
      <c r="OQ38" s="237"/>
      <c r="OR38" s="237"/>
      <c r="OS38" s="237"/>
      <c r="OT38" s="237"/>
      <c r="OU38" s="237"/>
      <c r="OV38" s="237"/>
      <c r="OW38" s="237"/>
      <c r="OX38" s="237"/>
      <c r="OY38" s="237"/>
      <c r="OZ38" s="237"/>
      <c r="PA38" s="237"/>
      <c r="PB38" s="237"/>
      <c r="PC38" s="237"/>
      <c r="PD38" s="237"/>
      <c r="PE38" s="237"/>
      <c r="PF38" s="237"/>
      <c r="PG38" s="237"/>
      <c r="PH38" s="237"/>
      <c r="PI38" s="237"/>
      <c r="PJ38" s="237"/>
      <c r="PK38" s="237"/>
      <c r="PL38" s="237"/>
      <c r="PM38" s="237"/>
      <c r="PN38" s="237"/>
      <c r="PO38" s="237"/>
      <c r="PP38" s="237"/>
      <c r="PQ38" s="237"/>
      <c r="PR38" s="237"/>
      <c r="PS38" s="237"/>
      <c r="PT38" s="237"/>
      <c r="PU38" s="488">
        <f>PU37+QA37</f>
        <v>42021473.680000007</v>
      </c>
      <c r="PV38" s="488">
        <f>PV37+QB37</f>
        <v>2101073.6800000002</v>
      </c>
      <c r="PW38" s="488">
        <f>PW37+QC37</f>
        <v>39920400</v>
      </c>
      <c r="PX38" s="237"/>
      <c r="PY38" s="1137">
        <f>PY37+QE37</f>
        <v>0</v>
      </c>
      <c r="PZ38" s="1137">
        <f>PZ37+QF37</f>
        <v>0</v>
      </c>
      <c r="QA38" s="237"/>
      <c r="QB38" s="237"/>
      <c r="QC38" s="237"/>
      <c r="QD38" s="237"/>
      <c r="QE38" s="237"/>
      <c r="QF38" s="237"/>
      <c r="QG38" s="237"/>
      <c r="QH38" s="237"/>
      <c r="QI38" s="237"/>
      <c r="QJ38" s="237"/>
      <c r="QK38" s="237"/>
      <c r="QL38" s="237"/>
      <c r="QM38" s="237"/>
      <c r="QN38" s="237"/>
      <c r="QO38" s="237"/>
      <c r="QP38" s="237"/>
      <c r="QQ38" s="237"/>
      <c r="QR38" s="237"/>
      <c r="QS38" s="239">
        <f>QS37+QU37</f>
        <v>858850819.83999991</v>
      </c>
      <c r="QT38" s="239">
        <f>QT37+QV37</f>
        <v>468320080.05000007</v>
      </c>
      <c r="QU38" s="223"/>
      <c r="QV38" s="223"/>
      <c r="QW38" s="223"/>
      <c r="QX38" s="223"/>
      <c r="QY38" s="223"/>
      <c r="QZ38" s="223"/>
      <c r="RA38" s="225">
        <f>RA37-[1]Субвенция_факт!$D$37+[1]Субвенция_факт!$D$39*1000</f>
        <v>-1.9073486328125E-6</v>
      </c>
      <c r="RB38" s="225"/>
      <c r="RC38" s="223"/>
      <c r="RD38" s="225">
        <f>9161039480.86-RD36-RD37</f>
        <v>0</v>
      </c>
      <c r="RE38" s="225"/>
      <c r="RF38" s="223"/>
      <c r="RG38" s="225"/>
      <c r="RH38" s="225"/>
      <c r="RI38" s="221"/>
      <c r="RJ38" s="221"/>
      <c r="RK38" s="221"/>
      <c r="RL38" s="239"/>
      <c r="RM38" s="223"/>
      <c r="RN38" s="225">
        <f>20852690.7-RN37</f>
        <v>0</v>
      </c>
      <c r="RO38" s="223"/>
      <c r="RP38" s="225">
        <f>49857.5-RP37</f>
        <v>0</v>
      </c>
      <c r="RQ38" s="225"/>
      <c r="RR38" s="225">
        <f>4223556-RR37</f>
        <v>0</v>
      </c>
      <c r="RS38" s="225"/>
      <c r="RT38" s="225">
        <f>6335350-RT37</f>
        <v>0</v>
      </c>
      <c r="RU38" s="225"/>
      <c r="RV38" s="225">
        <f>8447132-RV37</f>
        <v>0</v>
      </c>
      <c r="RW38" s="225"/>
      <c r="RX38" s="225"/>
      <c r="RY38" s="225"/>
      <c r="RZ38" s="225"/>
      <c r="SA38" s="225"/>
      <c r="SB38" s="225"/>
      <c r="SC38" s="225"/>
      <c r="SD38" s="225">
        <f>0-SD37</f>
        <v>0</v>
      </c>
      <c r="SE38" s="223"/>
      <c r="SF38" s="223"/>
      <c r="SG38" s="223"/>
      <c r="SH38" s="223"/>
      <c r="SI38" s="223"/>
      <c r="SJ38" s="225">
        <f>30479070.08-SJ37</f>
        <v>0</v>
      </c>
      <c r="SK38" s="449">
        <f>'[1]Иные межбюджетные трансферты'!$B$35-SK37</f>
        <v>0</v>
      </c>
      <c r="SL38" s="449">
        <f>2010822303.59-'[1]Иные межбюджетные трансферты'!$C$45-SL37</f>
        <v>0</v>
      </c>
      <c r="SM38" s="223"/>
      <c r="SN38" s="223"/>
      <c r="SO38" s="223"/>
      <c r="SP38" s="223"/>
      <c r="SQ38" s="223"/>
      <c r="SR38" s="225"/>
      <c r="SS38" s="223"/>
      <c r="ST38" s="223"/>
      <c r="SU38" s="223"/>
      <c r="SV38" s="223"/>
      <c r="SW38" s="225"/>
      <c r="SX38" s="225"/>
      <c r="SY38" s="225"/>
      <c r="SZ38" s="449">
        <f>SZ37+TD37</f>
        <v>506290000</v>
      </c>
      <c r="TA38" s="225">
        <f>TA37+TE37</f>
        <v>506290000</v>
      </c>
      <c r="TB38" s="449">
        <f>TB37+TF37</f>
        <v>506290000</v>
      </c>
      <c r="TC38" s="225"/>
      <c r="TD38" s="225"/>
      <c r="TE38" s="225"/>
      <c r="TF38" s="225"/>
      <c r="TG38" s="225"/>
      <c r="TH38" s="225"/>
      <c r="TI38" s="225"/>
      <c r="TJ38" s="225"/>
      <c r="TK38" s="225">
        <f>TK37+TQ37</f>
        <v>276117432</v>
      </c>
      <c r="TL38" s="225">
        <f t="shared" ref="TL38:TP38" si="629">TL37+TR37</f>
        <v>106117432</v>
      </c>
      <c r="TM38" s="225">
        <f t="shared" si="629"/>
        <v>170000000</v>
      </c>
      <c r="TN38" s="225">
        <f t="shared" si="629"/>
        <v>169152288.16999999</v>
      </c>
      <c r="TO38" s="225">
        <f t="shared" si="629"/>
        <v>21401568</v>
      </c>
      <c r="TP38" s="225">
        <f t="shared" si="629"/>
        <v>147750720.16999999</v>
      </c>
      <c r="TQ38" s="225"/>
      <c r="TR38" s="225"/>
      <c r="TS38" s="225"/>
      <c r="TT38" s="225"/>
      <c r="TU38" s="225"/>
      <c r="TV38" s="225"/>
      <c r="TW38" s="225"/>
      <c r="TX38" s="225"/>
      <c r="TY38" s="225"/>
      <c r="TZ38" s="225"/>
      <c r="UA38" s="225"/>
      <c r="UB38" s="225"/>
      <c r="UC38" s="225"/>
      <c r="UD38" s="225"/>
      <c r="UE38" s="225"/>
      <c r="UF38" s="225"/>
      <c r="UG38" s="225"/>
      <c r="UH38" s="225"/>
      <c r="UI38" s="225"/>
      <c r="UJ38" s="225"/>
      <c r="UK38" s="225"/>
      <c r="UL38" s="225"/>
      <c r="UM38" s="225"/>
      <c r="UN38" s="225"/>
      <c r="UO38" s="221"/>
      <c r="UP38" s="1412"/>
      <c r="UQ38" s="1412"/>
      <c r="UR38" s="1412"/>
      <c r="US38" s="650">
        <f>US37+VD37</f>
        <v>50530208.899999999</v>
      </c>
      <c r="UT38" s="650"/>
      <c r="UU38" s="650"/>
      <c r="UV38" s="221"/>
      <c r="UW38" s="1412"/>
      <c r="UX38" s="1412"/>
      <c r="UY38" s="1412"/>
      <c r="UZ38" s="650">
        <f>UZ37+VG37</f>
        <v>34118774.540000007</v>
      </c>
      <c r="VA38" s="650"/>
      <c r="VB38" s="650"/>
      <c r="VC38" s="223"/>
      <c r="VD38" s="223"/>
      <c r="VE38" s="223"/>
      <c r="VF38" s="223"/>
      <c r="VG38" s="223"/>
      <c r="VH38" s="223"/>
      <c r="VI38" s="223"/>
      <c r="VJ38" s="223"/>
      <c r="VK38" s="223"/>
      <c r="VL38" s="223"/>
      <c r="VM38" s="223"/>
      <c r="VN38" s="223"/>
      <c r="VO38" s="223"/>
      <c r="VP38" s="223"/>
      <c r="VQ38" s="223"/>
      <c r="VR38" s="223"/>
      <c r="VS38" s="223"/>
      <c r="VT38" s="223"/>
      <c r="VU38" s="223"/>
      <c r="VV38" s="225"/>
      <c r="VW38" s="225">
        <f>VW37+WA37+WC37</f>
        <v>1506300000</v>
      </c>
      <c r="VX38" s="225">
        <f>VX37+WB37+WD37</f>
        <v>1506300000</v>
      </c>
      <c r="VY38" s="225"/>
      <c r="VZ38" s="225"/>
      <c r="WA38" s="225"/>
      <c r="WB38" s="225"/>
      <c r="WC38" s="231"/>
      <c r="WD38" s="231"/>
      <c r="WE38" s="225">
        <f>WE37+WI37+WK37</f>
        <v>-92116000</v>
      </c>
      <c r="WF38" s="225">
        <f>WF37+WJ37+WL37</f>
        <v>-3638032.59</v>
      </c>
      <c r="WG38" s="225"/>
      <c r="WH38" s="225"/>
      <c r="WI38" s="225"/>
      <c r="WJ38" s="225"/>
      <c r="WK38" s="223"/>
      <c r="WL38" s="223"/>
      <c r="WM38" s="231"/>
      <c r="WN38" s="223"/>
    </row>
    <row r="39" spans="1:612" s="395" customFormat="1" ht="135.6" customHeight="1" thickBot="1" x14ac:dyDescent="0.3">
      <c r="A39" s="449">
        <f>B37-'[2]Исполнение  по  МБТ  всего'!$B$33*1000</f>
        <v>0</v>
      </c>
      <c r="B39" s="1048">
        <f>C37-'[2]Исполнение  по  МБТ  всего'!$E$33*1000</f>
        <v>0</v>
      </c>
      <c r="C39" s="1646">
        <v>17134346302.290001</v>
      </c>
      <c r="D39" s="1097"/>
      <c r="E39" s="242"/>
      <c r="F39" s="1650" t="s">
        <v>198</v>
      </c>
      <c r="G39" s="1651"/>
      <c r="H39" s="1651"/>
      <c r="I39" s="1651"/>
      <c r="J39" s="1651"/>
      <c r="K39" s="1651"/>
      <c r="L39" s="1651"/>
      <c r="M39" s="1652"/>
      <c r="N39" s="1722" t="s">
        <v>197</v>
      </c>
      <c r="O39" s="1723"/>
      <c r="P39" s="1723"/>
      <c r="Q39" s="1723"/>
      <c r="R39" s="1723"/>
      <c r="S39" s="1723"/>
      <c r="T39" s="1723"/>
      <c r="U39" s="1724"/>
      <c r="V39" s="1650" t="s">
        <v>196</v>
      </c>
      <c r="W39" s="1651"/>
      <c r="X39" s="1651"/>
      <c r="Y39" s="1651"/>
      <c r="Z39" s="1652"/>
      <c r="AA39" s="1659" t="s">
        <v>192</v>
      </c>
      <c r="AB39" s="1659"/>
      <c r="AC39" s="1659"/>
      <c r="AD39" s="1659"/>
      <c r="AE39" s="1659"/>
      <c r="AF39" s="1659"/>
      <c r="AG39" s="1659"/>
      <c r="AH39" s="1659"/>
      <c r="AI39" s="225"/>
      <c r="AJ39" s="225">
        <f>AJ37-AJ40</f>
        <v>0</v>
      </c>
      <c r="AK39" s="1761" t="s">
        <v>808</v>
      </c>
      <c r="AL39" s="1762"/>
      <c r="AM39" s="1762"/>
      <c r="AN39" s="1762"/>
      <c r="AO39" s="1762"/>
      <c r="AP39" s="1762"/>
      <c r="AQ39" s="1762"/>
      <c r="AR39" s="1762"/>
      <c r="AS39" s="1762"/>
      <c r="AT39" s="1762"/>
      <c r="AU39" s="1762"/>
      <c r="AV39" s="1762"/>
      <c r="AW39" s="1762"/>
      <c r="AX39" s="1762"/>
      <c r="AY39" s="1762"/>
      <c r="AZ39" s="1762"/>
      <c r="BA39" s="1762"/>
      <c r="BB39" s="1762"/>
      <c r="BC39" s="1762"/>
      <c r="BD39" s="1762"/>
      <c r="BE39" s="1762"/>
      <c r="BF39" s="1762"/>
      <c r="BG39" s="1762"/>
      <c r="BH39" s="1762"/>
      <c r="BI39" s="1762"/>
      <c r="BJ39" s="1762"/>
      <c r="BK39" s="1762"/>
      <c r="BL39" s="1762"/>
      <c r="BM39" s="1762"/>
      <c r="BN39" s="1762"/>
      <c r="BO39" s="1762"/>
      <c r="BP39" s="1762"/>
      <c r="BQ39" s="1762"/>
      <c r="BR39" s="1762"/>
      <c r="BS39" s="1762"/>
      <c r="BT39" s="1762"/>
      <c r="BU39" s="1659" t="s">
        <v>735</v>
      </c>
      <c r="BV39" s="1659"/>
      <c r="BW39" s="1659"/>
      <c r="BX39" s="1659"/>
      <c r="BY39" s="1659"/>
      <c r="BZ39" s="1659"/>
      <c r="CA39" s="1659"/>
      <c r="CB39" s="1659"/>
      <c r="CC39" s="1659"/>
      <c r="CD39" s="1659"/>
      <c r="CE39" s="1659"/>
      <c r="CF39" s="1659"/>
      <c r="CG39" s="1659"/>
      <c r="CH39" s="1659"/>
      <c r="CI39" s="1659"/>
      <c r="CJ39" s="1659"/>
      <c r="CK39" s="1659"/>
      <c r="CL39" s="1659"/>
      <c r="CM39" s="1659"/>
      <c r="CN39" s="1659"/>
      <c r="CO39" s="1659"/>
      <c r="CP39" s="1659"/>
      <c r="CQ39" s="1659"/>
      <c r="CR39" s="1659"/>
      <c r="CS39" s="1659" t="s">
        <v>683</v>
      </c>
      <c r="CT39" s="1659"/>
      <c r="CU39" s="1659"/>
      <c r="CV39" s="1659"/>
      <c r="CW39" s="1659"/>
      <c r="CX39" s="1659"/>
      <c r="CY39" s="1659"/>
      <c r="CZ39" s="1659"/>
      <c r="DA39" s="1659" t="s">
        <v>684</v>
      </c>
      <c r="DB39" s="1659"/>
      <c r="DC39" s="1659"/>
      <c r="DD39" s="1659"/>
      <c r="DE39" s="1659"/>
      <c r="DF39" s="1659"/>
      <c r="DG39" s="1659"/>
      <c r="DH39" s="1659"/>
      <c r="DI39" s="1659" t="s">
        <v>828</v>
      </c>
      <c r="DJ39" s="1659"/>
      <c r="DK39" s="1659"/>
      <c r="DL39" s="1659"/>
      <c r="DM39" s="1659"/>
      <c r="DN39" s="1659"/>
      <c r="DO39" s="1659"/>
      <c r="DP39" s="1659"/>
      <c r="DQ39" s="1659" t="s">
        <v>878</v>
      </c>
      <c r="DR39" s="1659"/>
      <c r="DS39" s="1659"/>
      <c r="DT39" s="1659"/>
      <c r="DU39" s="1659"/>
      <c r="DV39" s="1659"/>
      <c r="DW39" s="1659"/>
      <c r="DX39" s="1659"/>
      <c r="DY39" s="1659"/>
      <c r="DZ39" s="1659"/>
      <c r="EA39" s="1659"/>
      <c r="EB39" s="1659"/>
      <c r="EC39" s="1659"/>
      <c r="ED39" s="1659"/>
      <c r="EE39" s="1659" t="s">
        <v>400</v>
      </c>
      <c r="EF39" s="1659"/>
      <c r="EG39" s="1659"/>
      <c r="EH39" s="1659"/>
      <c r="EI39" s="1659"/>
      <c r="EJ39" s="1659"/>
      <c r="EK39" s="1650" t="s">
        <v>819</v>
      </c>
      <c r="EL39" s="1651"/>
      <c r="EM39" s="1651"/>
      <c r="EN39" s="1651"/>
      <c r="EO39" s="1651"/>
      <c r="EP39" s="1651"/>
      <c r="EQ39" s="1651"/>
      <c r="ER39" s="1651"/>
      <c r="ES39" s="1651"/>
      <c r="ET39" s="1651"/>
      <c r="EU39" s="1651"/>
      <c r="EV39" s="1651"/>
      <c r="EW39" s="1651"/>
      <c r="EX39" s="1651"/>
      <c r="EY39" s="1659" t="s">
        <v>817</v>
      </c>
      <c r="EZ39" s="1659"/>
      <c r="FA39" s="1659"/>
      <c r="FB39" s="1659"/>
      <c r="FC39" s="1659"/>
      <c r="FD39" s="1659"/>
      <c r="FE39" s="1659" t="s">
        <v>440</v>
      </c>
      <c r="FF39" s="1659"/>
      <c r="FG39" s="1659"/>
      <c r="FH39" s="1659"/>
      <c r="FI39" s="1659"/>
      <c r="FJ39" s="1659"/>
      <c r="FK39" s="1659" t="s">
        <v>409</v>
      </c>
      <c r="FL39" s="1659"/>
      <c r="FM39" s="1659"/>
      <c r="FN39" s="1659"/>
      <c r="FO39" s="1659"/>
      <c r="FP39" s="1659"/>
      <c r="FQ39" s="1650" t="s">
        <v>436</v>
      </c>
      <c r="FR39" s="1651"/>
      <c r="FS39" s="1651"/>
      <c r="FT39" s="1651"/>
      <c r="FU39" s="1651"/>
      <c r="FV39" s="1651"/>
      <c r="FW39" s="1651"/>
      <c r="FX39" s="1651"/>
      <c r="FY39" s="1651"/>
      <c r="FZ39" s="1651"/>
      <c r="GA39" s="1651"/>
      <c r="GB39" s="1651"/>
      <c r="GC39" s="1651"/>
      <c r="GD39" s="1651"/>
      <c r="GE39" s="1651"/>
      <c r="GF39" s="1652"/>
      <c r="GG39" s="1650" t="s">
        <v>702</v>
      </c>
      <c r="GH39" s="1651"/>
      <c r="GI39" s="1651"/>
      <c r="GJ39" s="1651"/>
      <c r="GK39" s="1651"/>
      <c r="GL39" s="1652"/>
      <c r="GM39" s="1650" t="s">
        <v>836</v>
      </c>
      <c r="GN39" s="1651"/>
      <c r="GO39" s="1651"/>
      <c r="GP39" s="1651"/>
      <c r="GQ39" s="1651"/>
      <c r="GR39" s="1651"/>
      <c r="GS39" s="1651"/>
      <c r="GT39" s="1651"/>
      <c r="GU39" s="1651"/>
      <c r="GV39" s="1651"/>
      <c r="GW39" s="1651"/>
      <c r="GX39" s="1651"/>
      <c r="GY39" s="1651"/>
      <c r="GZ39" s="1651"/>
      <c r="HA39" s="1651"/>
      <c r="HB39" s="1651"/>
      <c r="HC39" s="1651"/>
      <c r="HD39" s="1651"/>
      <c r="HE39" s="1651"/>
      <c r="HF39" s="1651"/>
      <c r="HG39" s="1651"/>
      <c r="HH39" s="1651"/>
      <c r="HI39" s="1651"/>
      <c r="HJ39" s="1652"/>
      <c r="HK39" s="1659" t="s">
        <v>294</v>
      </c>
      <c r="HL39" s="1659"/>
      <c r="HM39" s="1659"/>
      <c r="HN39" s="1659"/>
      <c r="HO39" s="1659"/>
      <c r="HP39" s="1659"/>
      <c r="HQ39" s="1650" t="s">
        <v>288</v>
      </c>
      <c r="HR39" s="1651"/>
      <c r="HS39" s="1651"/>
      <c r="HT39" s="1651"/>
      <c r="HU39" s="1651"/>
      <c r="HV39" s="1651"/>
      <c r="HW39" s="1651"/>
      <c r="HX39" s="1651"/>
      <c r="HY39" s="1651"/>
      <c r="HZ39" s="1651"/>
      <c r="IA39" s="1651"/>
      <c r="IB39" s="1651"/>
      <c r="IC39" s="1651"/>
      <c r="ID39" s="1651"/>
      <c r="IE39" s="1651"/>
      <c r="IF39" s="1651"/>
      <c r="IG39" s="1651"/>
      <c r="IH39" s="1651"/>
      <c r="II39" s="1651"/>
      <c r="IJ39" s="1651"/>
      <c r="IK39" s="1651"/>
      <c r="IL39" s="1651"/>
      <c r="IM39" s="1651"/>
      <c r="IN39" s="1651"/>
      <c r="IO39" s="1651"/>
      <c r="IP39" s="1652"/>
      <c r="IQ39" s="1659" t="s">
        <v>929</v>
      </c>
      <c r="IR39" s="1659"/>
      <c r="IS39" s="1659"/>
      <c r="IT39" s="1659"/>
      <c r="IU39" s="1659"/>
      <c r="IV39" s="1659"/>
      <c r="IW39" s="1659"/>
      <c r="IX39" s="1659"/>
      <c r="IY39" s="1659"/>
      <c r="IZ39" s="1659"/>
      <c r="JA39" s="1659"/>
      <c r="JB39" s="1659"/>
      <c r="JC39" s="1659"/>
      <c r="JD39" s="1659"/>
      <c r="JE39" s="1659"/>
      <c r="JF39" s="1659"/>
      <c r="JG39" s="1659"/>
      <c r="JH39" s="1659"/>
      <c r="JI39" s="1659"/>
      <c r="JJ39" s="1659"/>
      <c r="JK39" s="1659"/>
      <c r="JL39" s="1659"/>
      <c r="JM39" s="1659"/>
      <c r="JN39" s="1659"/>
      <c r="JO39" s="1659"/>
      <c r="JP39" s="1659"/>
      <c r="JQ39" s="1659"/>
      <c r="JR39" s="1659"/>
      <c r="JS39" s="1659"/>
      <c r="JT39" s="1659"/>
      <c r="JU39" s="1659"/>
      <c r="JV39" s="1659"/>
      <c r="JW39" s="1659"/>
      <c r="JX39" s="1659"/>
      <c r="JY39" s="1659"/>
      <c r="JZ39" s="1659"/>
      <c r="KA39" s="1659"/>
      <c r="KB39" s="1659"/>
      <c r="KC39" s="1659"/>
      <c r="KD39" s="1659"/>
      <c r="KE39" s="1659"/>
      <c r="KF39" s="1659"/>
      <c r="KG39" s="1659"/>
      <c r="KH39" s="1659"/>
      <c r="KI39" s="1659"/>
      <c r="KJ39" s="1659"/>
      <c r="KK39" s="1659"/>
      <c r="KL39" s="1659"/>
      <c r="KM39" s="1659"/>
      <c r="KN39" s="1659"/>
      <c r="KO39" s="1659" t="s">
        <v>707</v>
      </c>
      <c r="KP39" s="1659"/>
      <c r="KQ39" s="1659"/>
      <c r="KR39" s="1659"/>
      <c r="KS39" s="1659"/>
      <c r="KT39" s="1659"/>
      <c r="KU39" s="1659"/>
      <c r="KV39" s="1659"/>
      <c r="KW39" s="1650" t="s">
        <v>877</v>
      </c>
      <c r="KX39" s="1651"/>
      <c r="KY39" s="1651"/>
      <c r="KZ39" s="1651"/>
      <c r="LA39" s="1650" t="s">
        <v>662</v>
      </c>
      <c r="LB39" s="1651"/>
      <c r="LC39" s="1651"/>
      <c r="LD39" s="1651"/>
      <c r="LE39" s="1651"/>
      <c r="LF39" s="1651"/>
      <c r="LG39" s="1651"/>
      <c r="LH39" s="1651"/>
      <c r="LI39" s="1651"/>
      <c r="LJ39" s="1651"/>
      <c r="LK39" s="1651"/>
      <c r="LL39" s="1651"/>
      <c r="LM39" s="1651"/>
      <c r="LN39" s="1651"/>
      <c r="LO39" s="1651"/>
      <c r="LP39" s="1651"/>
      <c r="LQ39" s="1651"/>
      <c r="LR39" s="1651"/>
      <c r="LS39" s="1651"/>
      <c r="LT39" s="1651"/>
      <c r="LU39" s="1651"/>
      <c r="LV39" s="1651"/>
      <c r="LW39" s="1651"/>
      <c r="LX39" s="1651"/>
      <c r="LY39" s="1651"/>
      <c r="LZ39" s="1651"/>
      <c r="MA39" s="1651"/>
      <c r="MB39" s="1651"/>
      <c r="MC39" s="1651"/>
      <c r="MD39" s="1651"/>
      <c r="ME39" s="1651"/>
      <c r="MF39" s="1652"/>
      <c r="MG39" s="1650" t="s">
        <v>908</v>
      </c>
      <c r="MH39" s="1651"/>
      <c r="MI39" s="1651"/>
      <c r="MJ39" s="1651"/>
      <c r="MK39" s="1651"/>
      <c r="ML39" s="1651"/>
      <c r="MM39" s="1651"/>
      <c r="MN39" s="1651"/>
      <c r="MO39" s="1651"/>
      <c r="MP39" s="1651"/>
      <c r="MQ39" s="1651"/>
      <c r="MR39" s="1651"/>
      <c r="MS39" s="1651"/>
      <c r="MT39" s="1651"/>
      <c r="MU39" s="1651"/>
      <c r="MV39" s="1651"/>
      <c r="MW39" s="1651"/>
      <c r="MX39" s="1651"/>
      <c r="MY39" s="1651"/>
      <c r="MZ39" s="1651"/>
      <c r="NA39" s="1651"/>
      <c r="NB39" s="1651"/>
      <c r="NC39" s="1651"/>
      <c r="ND39" s="1651"/>
      <c r="NE39" s="1651"/>
      <c r="NF39" s="1651"/>
      <c r="NG39" s="1651"/>
      <c r="NH39" s="1652"/>
      <c r="NI39" s="1602"/>
      <c r="NJ39" s="1602"/>
      <c r="NK39" s="1659" t="s">
        <v>445</v>
      </c>
      <c r="NL39" s="1659"/>
      <c r="NM39" s="1659"/>
      <c r="NN39" s="1659"/>
      <c r="NO39" s="1659"/>
      <c r="NP39" s="1659"/>
      <c r="NQ39" s="1650" t="s">
        <v>809</v>
      </c>
      <c r="NR39" s="1651"/>
      <c r="NS39" s="1651"/>
      <c r="NT39" s="1651"/>
      <c r="NU39" s="1651"/>
      <c r="NV39" s="1651"/>
      <c r="NW39" s="1651"/>
      <c r="NX39" s="1651"/>
      <c r="NY39" s="1651"/>
      <c r="NZ39" s="1651"/>
      <c r="OA39" s="1651"/>
      <c r="OB39" s="1651"/>
      <c r="OC39" s="1651"/>
      <c r="OD39" s="1651"/>
      <c r="OE39" s="1651"/>
      <c r="OF39" s="1651"/>
      <c r="OG39" s="1651"/>
      <c r="OH39" s="1651"/>
      <c r="OI39" s="1651"/>
      <c r="OJ39" s="1651"/>
      <c r="OK39" s="1651"/>
      <c r="OL39" s="1651"/>
      <c r="OM39" s="1651"/>
      <c r="ON39" s="1651"/>
      <c r="OO39" s="1651"/>
      <c r="OP39" s="1651"/>
      <c r="OQ39" s="1651"/>
      <c r="OR39" s="1651"/>
      <c r="OS39" s="1651"/>
      <c r="OT39" s="1651"/>
      <c r="OU39" s="1651"/>
      <c r="OV39" s="1651"/>
      <c r="OW39" s="1651"/>
      <c r="OX39" s="1651"/>
      <c r="OY39" s="1651"/>
      <c r="OZ39" s="1651"/>
      <c r="PA39" s="1651"/>
      <c r="PB39" s="1651"/>
      <c r="PC39" s="1651"/>
      <c r="PD39" s="1651"/>
      <c r="PE39" s="1651"/>
      <c r="PF39" s="1651"/>
      <c r="PG39" s="1651"/>
      <c r="PH39" s="1651"/>
      <c r="PI39" s="1651"/>
      <c r="PJ39" s="1651"/>
      <c r="PK39" s="1651"/>
      <c r="PL39" s="1651"/>
      <c r="PM39" s="1651"/>
      <c r="PN39" s="1651"/>
      <c r="PO39" s="1651"/>
      <c r="PP39" s="1651"/>
      <c r="PQ39" s="1651"/>
      <c r="PR39" s="1651"/>
      <c r="PS39" s="1651"/>
      <c r="PT39" s="1652"/>
      <c r="PU39" s="1650" t="s">
        <v>852</v>
      </c>
      <c r="PV39" s="1651"/>
      <c r="PW39" s="1651"/>
      <c r="PX39" s="1651"/>
      <c r="PY39" s="1651"/>
      <c r="PZ39" s="1651"/>
      <c r="QA39" s="1651"/>
      <c r="QB39" s="1651"/>
      <c r="QC39" s="1651"/>
      <c r="QD39" s="1651"/>
      <c r="QE39" s="1651"/>
      <c r="QF39" s="1651"/>
      <c r="QG39" s="1651"/>
      <c r="QH39" s="1651"/>
      <c r="QI39" s="1651"/>
      <c r="QJ39" s="1651"/>
      <c r="QK39" s="1651"/>
      <c r="QL39" s="1651"/>
      <c r="QM39" s="1651"/>
      <c r="QN39" s="1651"/>
      <c r="QO39" s="1651"/>
      <c r="QP39" s="1651"/>
      <c r="QQ39" s="1651"/>
      <c r="QR39" s="1652"/>
      <c r="QS39" s="1650" t="s">
        <v>876</v>
      </c>
      <c r="QT39" s="1652"/>
      <c r="QU39" s="1659" t="s">
        <v>843</v>
      </c>
      <c r="QV39" s="1659"/>
      <c r="QW39" s="1659"/>
      <c r="QX39" s="1659"/>
      <c r="QY39" s="1659"/>
      <c r="QZ39" s="1659"/>
      <c r="RA39" s="227"/>
      <c r="RB39" s="227"/>
      <c r="RC39" s="227"/>
      <c r="RD39" s="228">
        <f>SUM('Проверочная  таблица'!RG38:SJ38)-RD38</f>
        <v>0</v>
      </c>
      <c r="RE39" s="229"/>
      <c r="RF39" s="230"/>
      <c r="RG39" s="1650" t="s">
        <v>948</v>
      </c>
      <c r="RH39" s="1652"/>
      <c r="RI39" s="1650" t="s">
        <v>186</v>
      </c>
      <c r="RJ39" s="1652"/>
      <c r="RK39" s="1650" t="s">
        <v>185</v>
      </c>
      <c r="RL39" s="1652"/>
      <c r="RM39" s="1650" t="s">
        <v>172</v>
      </c>
      <c r="RN39" s="1652"/>
      <c r="RO39" s="1650" t="s">
        <v>173</v>
      </c>
      <c r="RP39" s="1652"/>
      <c r="RQ39" s="1650" t="s">
        <v>213</v>
      </c>
      <c r="RR39" s="1652"/>
      <c r="RS39" s="1650" t="s">
        <v>171</v>
      </c>
      <c r="RT39" s="1652"/>
      <c r="RU39" s="1650" t="s">
        <v>286</v>
      </c>
      <c r="RV39" s="1652"/>
      <c r="RW39" s="1650" t="s">
        <v>717</v>
      </c>
      <c r="RX39" s="1651"/>
      <c r="RY39" s="1651"/>
      <c r="RZ39" s="1651"/>
      <c r="SA39" s="1651"/>
      <c r="SB39" s="1652"/>
      <c r="SC39" s="1650" t="s">
        <v>733</v>
      </c>
      <c r="SD39" s="1652"/>
      <c r="SE39" s="1659" t="s">
        <v>189</v>
      </c>
      <c r="SF39" s="1659"/>
      <c r="SG39" s="1659"/>
      <c r="SH39" s="1659"/>
      <c r="SI39" s="1659"/>
      <c r="SJ39" s="1659"/>
      <c r="SK39" s="1149"/>
      <c r="SL39" s="246"/>
      <c r="SM39" s="1659" t="s">
        <v>789</v>
      </c>
      <c r="SN39" s="1659"/>
      <c r="SO39" s="1659"/>
      <c r="SP39" s="1659"/>
      <c r="SQ39" s="1659"/>
      <c r="SR39" s="1659"/>
      <c r="SS39" s="1650" t="s">
        <v>938</v>
      </c>
      <c r="ST39" s="1651"/>
      <c r="SU39" s="1651"/>
      <c r="SV39" s="1651"/>
      <c r="SW39" s="1651"/>
      <c r="SX39" s="1652"/>
      <c r="SY39" s="1650" t="s">
        <v>825</v>
      </c>
      <c r="SZ39" s="1651"/>
      <c r="TA39" s="1651"/>
      <c r="TB39" s="1651"/>
      <c r="TC39" s="1651"/>
      <c r="TD39" s="1651"/>
      <c r="TE39" s="1651"/>
      <c r="TF39" s="1651"/>
      <c r="TG39" s="1651"/>
      <c r="TH39" s="1651"/>
      <c r="TI39" s="1651"/>
      <c r="TJ39" s="1651"/>
      <c r="TK39" s="1651" t="s">
        <v>740</v>
      </c>
      <c r="TL39" s="1651"/>
      <c r="TM39" s="1651"/>
      <c r="TN39" s="1651"/>
      <c r="TO39" s="1651"/>
      <c r="TP39" s="1651"/>
      <c r="TQ39" s="1651"/>
      <c r="TR39" s="1651"/>
      <c r="TS39" s="1651"/>
      <c r="TT39" s="1651"/>
      <c r="TU39" s="1651"/>
      <c r="TV39" s="1651"/>
      <c r="TW39" s="1651"/>
      <c r="TX39" s="1651"/>
      <c r="TY39" s="1651"/>
      <c r="TZ39" s="1652"/>
      <c r="UA39" s="1650" t="s">
        <v>549</v>
      </c>
      <c r="UB39" s="1651"/>
      <c r="UC39" s="1651"/>
      <c r="UD39" s="1651"/>
      <c r="UE39" s="1651"/>
      <c r="UF39" s="1652"/>
      <c r="UG39" s="1650" t="s">
        <v>913</v>
      </c>
      <c r="UH39" s="1651"/>
      <c r="UI39" s="1651"/>
      <c r="UJ39" s="1651"/>
      <c r="UK39" s="1651"/>
      <c r="UL39" s="1651"/>
      <c r="UM39" s="1651"/>
      <c r="UN39" s="1652"/>
      <c r="UO39" s="1659" t="s">
        <v>898</v>
      </c>
      <c r="UP39" s="1659"/>
      <c r="UQ39" s="1659"/>
      <c r="UR39" s="1659"/>
      <c r="US39" s="1659"/>
      <c r="UT39" s="1659"/>
      <c r="UU39" s="1659"/>
      <c r="UV39" s="1659"/>
      <c r="UW39" s="1659"/>
      <c r="UX39" s="1659"/>
      <c r="UY39" s="1659"/>
      <c r="UZ39" s="1659"/>
      <c r="VA39" s="1659"/>
      <c r="VB39" s="1659"/>
      <c r="VC39" s="1659"/>
      <c r="VD39" s="1659"/>
      <c r="VE39" s="1659"/>
      <c r="VF39" s="1659"/>
      <c r="VG39" s="1659"/>
      <c r="VH39" s="1659"/>
      <c r="VI39" s="1659"/>
      <c r="VJ39" s="1659"/>
      <c r="VK39" s="1659"/>
      <c r="VL39" s="1659"/>
      <c r="VM39" s="1659"/>
      <c r="VN39" s="1659"/>
      <c r="VO39" s="1659"/>
      <c r="VP39" s="1659"/>
      <c r="VQ39" s="1659"/>
      <c r="VR39" s="1659"/>
      <c r="VS39" s="1659"/>
      <c r="VT39" s="1490"/>
      <c r="VU39" s="1022"/>
      <c r="VV39" s="231"/>
      <c r="VW39" s="1722">
        <v>540</v>
      </c>
      <c r="VX39" s="1723"/>
      <c r="VY39" s="1723"/>
      <c r="VZ39" s="1723"/>
      <c r="WA39" s="1723"/>
      <c r="WB39" s="1723"/>
      <c r="WC39" s="1723"/>
      <c r="WD39" s="1724"/>
      <c r="WE39" s="1717">
        <v>640</v>
      </c>
      <c r="WF39" s="1717"/>
      <c r="WG39" s="1717"/>
      <c r="WH39" s="1717"/>
      <c r="WI39" s="1717"/>
      <c r="WJ39" s="1717"/>
      <c r="WK39" s="1717"/>
      <c r="WL39" s="1717"/>
      <c r="WM39" s="223"/>
      <c r="WN39" s="223"/>
    </row>
    <row r="40" spans="1:612" s="395" customFormat="1" ht="18.75" thickBot="1" x14ac:dyDescent="0.3">
      <c r="A40" s="223"/>
      <c r="B40" s="231"/>
      <c r="C40" s="222">
        <f>C39-C37</f>
        <v>0</v>
      </c>
      <c r="D40" s="231"/>
      <c r="F40" s="1512">
        <f>L37+T37+AG37</f>
        <v>273781172</v>
      </c>
      <c r="G40" s="1512">
        <f>M37+U37+AH37</f>
        <v>230859319.10000002</v>
      </c>
      <c r="I40" s="224"/>
      <c r="J40" s="224"/>
      <c r="K40" s="224"/>
      <c r="L40" s="224"/>
      <c r="M40" s="224"/>
      <c r="N40" s="1553"/>
      <c r="O40" s="1553"/>
      <c r="P40" s="224"/>
      <c r="Q40" s="223"/>
      <c r="R40" s="223"/>
      <c r="S40" s="223"/>
      <c r="T40" s="223"/>
      <c r="U40" s="223"/>
      <c r="V40" s="240"/>
      <c r="W40" s="223"/>
      <c r="X40" s="223"/>
      <c r="Y40" s="223"/>
      <c r="Z40" s="223"/>
      <c r="AA40" s="240"/>
      <c r="AB40" s="223"/>
      <c r="AC40" s="240"/>
      <c r="AD40" s="240"/>
      <c r="AE40" s="240"/>
      <c r="AF40" s="240"/>
      <c r="AG40" s="240"/>
      <c r="AH40" s="240"/>
      <c r="AI40" s="224" t="s">
        <v>124</v>
      </c>
      <c r="AJ40" s="1640">
        <v>3389548986.27</v>
      </c>
      <c r="AK40" s="1071"/>
      <c r="AL40" s="243"/>
      <c r="AM40" s="243"/>
      <c r="AN40" s="243"/>
      <c r="AO40" s="243"/>
      <c r="AP40" s="243"/>
      <c r="AQ40" s="1071"/>
      <c r="AR40" s="974"/>
      <c r="AS40" s="1641">
        <v>68075132.200000003</v>
      </c>
      <c r="AT40" s="975"/>
      <c r="AU40" s="976"/>
      <c r="AV40" s="1282"/>
      <c r="AW40" s="1071"/>
      <c r="AX40" s="242"/>
      <c r="AY40" s="242"/>
      <c r="AZ40" s="242"/>
      <c r="BA40" s="1071"/>
      <c r="BB40" s="242"/>
      <c r="BC40" s="242"/>
      <c r="BD40" s="927"/>
      <c r="BE40" s="1071"/>
      <c r="BF40" s="259"/>
      <c r="BG40" s="259"/>
      <c r="BH40" s="259"/>
      <c r="BI40" s="1071"/>
      <c r="BJ40" s="259"/>
      <c r="BK40" s="259"/>
      <c r="BL40" s="259"/>
      <c r="BM40" s="1071"/>
      <c r="BN40" s="259"/>
      <c r="BO40" s="259"/>
      <c r="BP40" s="259"/>
      <c r="BQ40" s="1071"/>
      <c r="BR40" s="259"/>
      <c r="BS40" s="259"/>
      <c r="BT40" s="259"/>
      <c r="BU40" s="243"/>
      <c r="BV40" s="243"/>
      <c r="BW40" s="243"/>
      <c r="BX40" s="243"/>
      <c r="BY40" s="272"/>
      <c r="BZ40" s="243"/>
      <c r="CA40" s="1641">
        <v>90813101.620000005</v>
      </c>
      <c r="CB40" s="1641">
        <v>436119762.79000002</v>
      </c>
      <c r="CC40" s="1641">
        <v>128199146.23999999</v>
      </c>
      <c r="CD40" s="1641">
        <v>250456390.12</v>
      </c>
      <c r="CE40" s="243"/>
      <c r="CF40" s="243"/>
      <c r="CG40" s="243"/>
      <c r="CH40" s="243"/>
      <c r="CI40" s="272"/>
      <c r="CJ40" s="243"/>
      <c r="CK40" s="243"/>
      <c r="CL40" s="243"/>
      <c r="CM40" s="243"/>
      <c r="CN40" s="272"/>
      <c r="CO40" s="272"/>
      <c r="CP40" s="272"/>
      <c r="CQ40" s="272"/>
      <c r="CR40" s="272"/>
      <c r="CS40" s="224"/>
      <c r="CT40" s="1641">
        <v>641786815.82000005</v>
      </c>
      <c r="CU40" s="224"/>
      <c r="CV40" s="224"/>
      <c r="CW40" s="224"/>
      <c r="CX40" s="224"/>
      <c r="CY40" s="224"/>
      <c r="CZ40" s="224"/>
      <c r="DA40" s="224"/>
      <c r="DB40" s="1641">
        <v>79198760.790000007</v>
      </c>
      <c r="DC40" s="224"/>
      <c r="DD40" s="224"/>
      <c r="DE40" s="224"/>
      <c r="DF40" s="224"/>
      <c r="DG40" s="224"/>
      <c r="DH40" s="224"/>
      <c r="DI40" s="243"/>
      <c r="DJ40" s="243"/>
      <c r="DK40" s="243"/>
      <c r="DL40" s="243"/>
      <c r="DM40" s="243"/>
      <c r="DN40" s="925"/>
      <c r="DO40" s="1262">
        <f>DO41-DP40</f>
        <v>32023298.75</v>
      </c>
      <c r="DP40" s="1467">
        <v>138180933.74000001</v>
      </c>
      <c r="DQ40" s="277"/>
      <c r="DR40" s="277"/>
      <c r="DS40" s="277"/>
      <c r="DT40" s="277"/>
      <c r="DU40" s="277"/>
      <c r="DV40" s="277"/>
      <c r="DW40" s="277"/>
      <c r="DX40" s="277"/>
      <c r="DY40" s="1641">
        <v>6962214.1699999999</v>
      </c>
      <c r="DZ40" s="928"/>
      <c r="EA40" s="928"/>
      <c r="EB40" s="928"/>
      <c r="EC40" s="928"/>
      <c r="ED40" s="1641">
        <v>6002808.6699999999</v>
      </c>
      <c r="EE40" s="243"/>
      <c r="EF40" s="243"/>
      <c r="EG40" s="243"/>
      <c r="EH40" s="243"/>
      <c r="EI40" s="1262">
        <f>EI41-EJ40</f>
        <v>141353.00999999978</v>
      </c>
      <c r="EJ40" s="1467">
        <v>2685699.99</v>
      </c>
      <c r="EK40" s="243"/>
      <c r="EL40" s="243"/>
      <c r="EM40" s="243"/>
      <c r="EN40" s="243"/>
      <c r="EO40" s="243"/>
      <c r="EP40" s="243"/>
      <c r="EQ40" s="243"/>
      <c r="ER40" s="243"/>
      <c r="ES40" s="1262">
        <f>ES41-ET40</f>
        <v>24067.020000000019</v>
      </c>
      <c r="ET40" s="925">
        <v>457273.29</v>
      </c>
      <c r="EU40" s="1262">
        <f>EU41-EV40</f>
        <v>0</v>
      </c>
      <c r="EV40" s="925">
        <v>0</v>
      </c>
      <c r="EW40" s="1262">
        <f>EW41-EX40</f>
        <v>0</v>
      </c>
      <c r="EX40" s="925">
        <v>0</v>
      </c>
      <c r="EY40" s="243"/>
      <c r="EZ40" s="243"/>
      <c r="FA40" s="243"/>
      <c r="FB40" s="243"/>
      <c r="FC40" s="1262">
        <f>FC41-FD40</f>
        <v>526315.78999999911</v>
      </c>
      <c r="FD40" s="925">
        <v>25000000</v>
      </c>
      <c r="FE40" s="243"/>
      <c r="FF40" s="243"/>
      <c r="FG40" s="243"/>
      <c r="FH40" s="243"/>
      <c r="FI40" s="1262">
        <f>FI41-FJ40</f>
        <v>2349775.9799999967</v>
      </c>
      <c r="FJ40" s="1467">
        <v>44645700</v>
      </c>
      <c r="FK40" s="927"/>
      <c r="FL40" s="927"/>
      <c r="FM40" s="927"/>
      <c r="FN40" s="927"/>
      <c r="FO40" s="1466">
        <f>FO41-FP40</f>
        <v>4117407.349999994</v>
      </c>
      <c r="FP40" s="1467">
        <v>78230722.010000005</v>
      </c>
      <c r="FQ40" s="927"/>
      <c r="FR40" s="927"/>
      <c r="FS40" s="927"/>
      <c r="FT40" s="927"/>
      <c r="FU40" s="1466">
        <f>FU41-FV40</f>
        <v>13523367.290000007</v>
      </c>
      <c r="FV40" s="1467">
        <v>34773463.049999997</v>
      </c>
      <c r="FW40" s="927"/>
      <c r="FX40" s="927"/>
      <c r="FY40" s="927"/>
      <c r="FZ40" s="927"/>
      <c r="GA40" s="927"/>
      <c r="GB40" s="927"/>
      <c r="GC40" s="927"/>
      <c r="GD40" s="927"/>
      <c r="GE40" s="927"/>
      <c r="GF40" s="927"/>
      <c r="GG40" s="927"/>
      <c r="GH40" s="927"/>
      <c r="GI40" s="927"/>
      <c r="GJ40" s="927"/>
      <c r="GK40" s="1466">
        <f>GK41-GL40</f>
        <v>3125413.870000001</v>
      </c>
      <c r="GL40" s="1467">
        <v>8036778.5099999998</v>
      </c>
      <c r="GM40" s="1124"/>
      <c r="GN40" s="1124"/>
      <c r="GO40" s="1124"/>
      <c r="GP40" s="1124"/>
      <c r="GQ40" s="1643">
        <f t="shared" ref="GQ40" si="630">GQ41-GR40</f>
        <v>1412531.2199999997</v>
      </c>
      <c r="GR40" s="1467">
        <v>1414273.33</v>
      </c>
      <c r="GS40" s="1124"/>
      <c r="GT40" s="1124"/>
      <c r="GU40" s="1124"/>
      <c r="GV40" s="1124"/>
      <c r="GW40" s="1124"/>
      <c r="GX40" s="1124"/>
      <c r="GY40" s="1124"/>
      <c r="GZ40" s="1124"/>
      <c r="HA40" s="1124"/>
      <c r="HB40" s="1124"/>
      <c r="HC40" s="1124"/>
      <c r="HD40" s="1124"/>
      <c r="HE40" s="1124"/>
      <c r="HF40" s="1124"/>
      <c r="HG40" s="1124"/>
      <c r="HH40" s="1124"/>
      <c r="HI40" s="1124"/>
      <c r="HJ40" s="1124"/>
      <c r="HK40" s="927"/>
      <c r="HL40" s="927"/>
      <c r="HM40" s="927"/>
      <c r="HN40" s="927"/>
      <c r="HO40" s="1262">
        <f>HO41-HP40</f>
        <v>1047239</v>
      </c>
      <c r="HP40" s="1596">
        <v>2692900</v>
      </c>
      <c r="HU40" s="1262">
        <f>HU41-HV40</f>
        <v>5302778.129999999</v>
      </c>
      <c r="HV40" s="1467">
        <v>13635713.57</v>
      </c>
      <c r="IQ40" s="259"/>
      <c r="IR40" s="259"/>
      <c r="IS40" s="259"/>
      <c r="IT40" s="259"/>
      <c r="IU40" s="259"/>
      <c r="IV40" s="259"/>
      <c r="IW40" s="259"/>
      <c r="IX40" s="259"/>
      <c r="IY40" s="259"/>
      <c r="IZ40" s="259"/>
      <c r="JA40" s="259"/>
      <c r="JB40" s="259"/>
      <c r="JC40" s="259"/>
      <c r="JD40" s="1642">
        <f>JD41-JE40</f>
        <v>1008343.9100000001</v>
      </c>
      <c r="JE40" s="1467">
        <v>2592884.21</v>
      </c>
      <c r="JF40" s="1262">
        <f>JF41-JG40</f>
        <v>11095472.920000002</v>
      </c>
      <c r="JG40" s="1467">
        <v>28531216.07</v>
      </c>
      <c r="JH40" s="1642">
        <f>JH41-JI40</f>
        <v>1880840.0500000045</v>
      </c>
      <c r="JI40" s="1467">
        <v>34883116.659999996</v>
      </c>
      <c r="JJ40" s="1641">
        <v>9000000</v>
      </c>
      <c r="JK40" s="259"/>
      <c r="JL40" s="259"/>
      <c r="JM40" s="259"/>
      <c r="JN40" s="259"/>
      <c r="JO40" s="259"/>
      <c r="JP40" s="259"/>
      <c r="JQ40" s="259"/>
      <c r="JR40" s="259"/>
      <c r="JS40" s="259"/>
      <c r="JT40" s="259"/>
      <c r="JU40" s="245"/>
      <c r="JV40" s="1621"/>
      <c r="JW40" s="1620"/>
      <c r="JX40" s="1001"/>
      <c r="JY40" s="1001"/>
      <c r="JZ40" s="245"/>
      <c r="KA40" s="1621"/>
      <c r="KB40" s="1620"/>
      <c r="KC40" s="1001"/>
      <c r="KD40" s="1001"/>
      <c r="KE40" s="245"/>
      <c r="KF40" s="1621"/>
      <c r="KG40" s="1620"/>
      <c r="KH40" s="1001"/>
      <c r="KI40" s="1001"/>
      <c r="KJ40" s="245"/>
      <c r="KK40" s="1621"/>
      <c r="KL40" s="1620"/>
      <c r="KM40" s="1001"/>
      <c r="KN40" s="1001"/>
      <c r="KO40" s="245"/>
      <c r="KP40" s="245"/>
      <c r="KQ40" s="245"/>
      <c r="KR40" s="1091"/>
      <c r="KS40" s="245"/>
      <c r="KT40" s="1150">
        <f>KT41-KU40</f>
        <v>58656620.820000023</v>
      </c>
      <c r="KU40" s="1467">
        <v>150831310.75999999</v>
      </c>
      <c r="KV40" s="1641">
        <v>8691119.2599999998</v>
      </c>
      <c r="KW40" s="245"/>
      <c r="KX40" s="1094"/>
      <c r="KY40" s="245"/>
      <c r="KZ40" s="926"/>
      <c r="LF40" s="1466">
        <f>LF41-LG40</f>
        <v>12415063.75999999</v>
      </c>
      <c r="LG40" s="1467">
        <v>235886211.88</v>
      </c>
      <c r="LH40" s="1641">
        <v>76346571.230000004</v>
      </c>
      <c r="MG40" s="243"/>
      <c r="MH40" s="243"/>
      <c r="MI40" s="243"/>
      <c r="MJ40" s="243"/>
      <c r="MK40" s="243"/>
      <c r="ML40" s="243"/>
      <c r="MM40" s="1466">
        <f>MM41-MN40</f>
        <v>564972.62999999896</v>
      </c>
      <c r="MN40" s="1467">
        <v>10734480.310000001</v>
      </c>
      <c r="MO40" s="1466">
        <f>MO41-MP40</f>
        <v>0</v>
      </c>
      <c r="MP40" s="1467"/>
      <c r="MQ40" s="243"/>
      <c r="MR40" s="243"/>
      <c r="MS40" s="243"/>
      <c r="MT40" s="243"/>
      <c r="MU40" s="243"/>
      <c r="MV40" s="243"/>
      <c r="MW40" s="243"/>
      <c r="MX40" s="243"/>
      <c r="MY40" s="243"/>
      <c r="MZ40" s="243"/>
      <c r="NA40" s="243"/>
      <c r="NB40" s="243"/>
      <c r="NC40" s="243"/>
      <c r="ND40" s="243"/>
      <c r="NE40" s="243"/>
      <c r="NF40" s="243"/>
      <c r="NG40" s="243"/>
      <c r="NH40" s="243"/>
      <c r="NI40" s="243"/>
      <c r="NJ40" s="243"/>
      <c r="NK40" s="927"/>
      <c r="NL40" s="927"/>
      <c r="NM40" s="927"/>
      <c r="NN40" s="927"/>
      <c r="NO40" s="1150">
        <f>NO41-NP40</f>
        <v>1630952.8099999949</v>
      </c>
      <c r="NP40" s="1467">
        <v>56897801.200000003</v>
      </c>
      <c r="NQ40" s="243"/>
      <c r="NR40" s="243"/>
      <c r="NS40" s="243"/>
      <c r="NT40" s="243"/>
      <c r="NU40" s="243"/>
      <c r="NV40" s="243"/>
      <c r="NW40" s="243"/>
      <c r="NX40" s="243"/>
      <c r="NY40" s="1466">
        <f>NY41-NZ40</f>
        <v>0</v>
      </c>
      <c r="NZ40" s="1477">
        <v>0</v>
      </c>
      <c r="OA40" s="1466">
        <f>OA41-OB40</f>
        <v>1341800.2400000021</v>
      </c>
      <c r="OB40" s="1467">
        <v>25494204.719999999</v>
      </c>
      <c r="OC40" s="1466">
        <f>OC41-OD40</f>
        <v>26742025.890000001</v>
      </c>
      <c r="OD40" s="1467">
        <v>82876932.230000004</v>
      </c>
      <c r="OE40" s="243"/>
      <c r="OF40" s="243"/>
      <c r="OG40" s="243"/>
      <c r="OH40" s="243"/>
      <c r="OI40" s="243"/>
      <c r="OJ40" s="243"/>
      <c r="OK40" s="243"/>
      <c r="OL40" s="243"/>
      <c r="OM40" s="1466">
        <f>OM41-ON40</f>
        <v>593886.04000000097</v>
      </c>
      <c r="ON40" s="1467">
        <v>11283835.609999999</v>
      </c>
      <c r="OO40" s="243"/>
      <c r="OP40" s="243"/>
      <c r="OQ40" s="243"/>
      <c r="OR40" s="243"/>
      <c r="OS40" s="243"/>
      <c r="OT40" s="243"/>
      <c r="OU40" s="243"/>
      <c r="OV40" s="243"/>
      <c r="OW40" s="243"/>
      <c r="OX40" s="243"/>
      <c r="OY40" s="243"/>
      <c r="OZ40" s="243"/>
      <c r="PA40" s="243"/>
      <c r="PB40" s="243"/>
      <c r="PC40" s="243"/>
      <c r="PD40" s="243"/>
      <c r="PE40" s="243"/>
      <c r="PF40" s="243"/>
      <c r="PG40" s="243"/>
      <c r="PH40" s="243"/>
      <c r="PI40" s="243"/>
      <c r="PJ40" s="243"/>
      <c r="PK40" s="243"/>
      <c r="PL40" s="243"/>
      <c r="PM40" s="243"/>
      <c r="PN40" s="243"/>
      <c r="PO40" s="243"/>
      <c r="PP40" s="243"/>
      <c r="PQ40" s="243"/>
      <c r="PR40" s="243"/>
      <c r="PS40" s="243"/>
      <c r="PT40" s="243"/>
      <c r="PU40" s="243"/>
      <c r="PV40" s="243"/>
      <c r="PW40" s="243"/>
      <c r="PX40" s="243"/>
      <c r="PY40" s="1466">
        <f>PY41-PZ40</f>
        <v>0</v>
      </c>
      <c r="PZ40" s="1467">
        <v>0</v>
      </c>
      <c r="QA40" s="243"/>
      <c r="QB40" s="243"/>
      <c r="QC40" s="243"/>
      <c r="QD40" s="243"/>
      <c r="QE40" s="243"/>
      <c r="QF40" s="243"/>
      <c r="QG40" s="243"/>
      <c r="QH40" s="243"/>
      <c r="QI40" s="243"/>
      <c r="QJ40" s="243"/>
      <c r="QK40" s="243"/>
      <c r="QL40" s="243"/>
      <c r="QM40" s="243"/>
      <c r="QN40" s="243"/>
      <c r="QO40" s="243"/>
      <c r="QP40" s="243"/>
      <c r="QQ40" s="243"/>
      <c r="QR40" s="243"/>
      <c r="QS40" s="224"/>
      <c r="QT40" s="224"/>
      <c r="QU40" s="224"/>
      <c r="QV40" s="224"/>
      <c r="QW40" s="224"/>
      <c r="QX40" s="224"/>
      <c r="QY40" s="224"/>
      <c r="QZ40" s="224"/>
      <c r="RA40" s="231"/>
      <c r="RB40" s="223"/>
      <c r="RC40" s="223"/>
      <c r="RD40" s="225"/>
      <c r="RE40" s="223"/>
      <c r="RF40" s="225"/>
      <c r="RG40" s="245"/>
      <c r="RH40" s="245"/>
      <c r="RI40" s="245"/>
      <c r="RJ40" s="245"/>
      <c r="RK40" s="245"/>
      <c r="RL40" s="245"/>
      <c r="RM40" s="224"/>
      <c r="RN40" s="244"/>
      <c r="RO40" s="224"/>
      <c r="RP40" s="224"/>
      <c r="RQ40" s="244"/>
      <c r="RR40" s="244"/>
      <c r="RS40" s="224"/>
      <c r="RT40" s="224"/>
      <c r="RU40" s="224"/>
      <c r="RV40" s="224"/>
      <c r="RW40" s="224"/>
      <c r="RX40" s="224"/>
      <c r="RY40" s="224"/>
      <c r="RZ40" s="224"/>
      <c r="SA40" s="1466">
        <f>SA41-SB40</f>
        <v>65108149.670000017</v>
      </c>
      <c r="SB40" s="1638">
        <f>SB37</f>
        <v>167420955.91</v>
      </c>
      <c r="SC40" s="224"/>
      <c r="SD40" s="224"/>
      <c r="SE40" s="224"/>
      <c r="SF40" s="224"/>
      <c r="SG40" s="224"/>
      <c r="SH40" s="224"/>
      <c r="SI40" s="224"/>
      <c r="SJ40" s="224"/>
      <c r="SK40" s="224"/>
      <c r="SL40" s="224"/>
      <c r="SM40" s="224"/>
      <c r="SN40" s="224"/>
      <c r="SO40" s="224"/>
      <c r="SP40" s="224"/>
      <c r="SQ40" s="1466">
        <f>SQ41-SR40</f>
        <v>0</v>
      </c>
      <c r="SR40" s="1506">
        <f>SQ41</f>
        <v>332262886.93000001</v>
      </c>
      <c r="SS40" s="224"/>
      <c r="ST40" s="224"/>
      <c r="SU40" s="224"/>
      <c r="SV40" s="224"/>
      <c r="SW40" s="1506"/>
      <c r="SX40" s="1628"/>
      <c r="SY40" s="224"/>
      <c r="SZ40" s="224"/>
      <c r="TA40" s="224"/>
      <c r="TB40" s="1263">
        <v>506290000</v>
      </c>
      <c r="TC40" s="224"/>
      <c r="TD40" s="224"/>
      <c r="TE40" s="224"/>
      <c r="TF40" s="224"/>
      <c r="TG40" s="224"/>
      <c r="TH40" s="224"/>
      <c r="TI40" s="224"/>
      <c r="TJ40" s="224"/>
      <c r="TK40" s="224"/>
      <c r="TL40" s="224"/>
      <c r="TM40" s="224"/>
      <c r="TN40" s="224"/>
      <c r="TO40" s="1262">
        <f>TO41-TP40</f>
        <v>21401568</v>
      </c>
      <c r="TP40" s="1305">
        <f>TP38</f>
        <v>147750720.16999999</v>
      </c>
      <c r="TQ40" s="224"/>
      <c r="TR40" s="224"/>
      <c r="TS40" s="224"/>
      <c r="TT40" s="224"/>
      <c r="TU40" s="224"/>
      <c r="TV40" s="224"/>
      <c r="TW40" s="224"/>
      <c r="TX40" s="224"/>
      <c r="TY40" s="224"/>
      <c r="TZ40" s="224"/>
      <c r="UA40" s="224"/>
      <c r="UB40" s="224"/>
      <c r="UC40" s="224"/>
      <c r="UD40" s="224"/>
      <c r="UE40" s="1262">
        <f>UE41-UF40</f>
        <v>0</v>
      </c>
      <c r="UF40" s="1575">
        <v>1000000</v>
      </c>
      <c r="UG40" s="224"/>
      <c r="UH40" s="224"/>
      <c r="UI40" s="224"/>
      <c r="UJ40" s="224"/>
      <c r="UK40" s="224"/>
      <c r="UL40" s="1576">
        <f>UL41-UM40</f>
        <v>0</v>
      </c>
      <c r="UM40" s="1577">
        <f>UL41</f>
        <v>5000000</v>
      </c>
      <c r="UN40" s="1627"/>
      <c r="UO40" s="259"/>
      <c r="UP40" s="259"/>
      <c r="UQ40" s="259"/>
      <c r="UR40" s="259"/>
      <c r="US40" s="259"/>
      <c r="UT40" s="259"/>
      <c r="UU40" s="259"/>
      <c r="UV40" s="259"/>
      <c r="UW40" s="259"/>
      <c r="UX40" s="259"/>
      <c r="UY40" s="1275">
        <v>102794382.31999999</v>
      </c>
      <c r="UZ40" s="1275">
        <v>34118774.539999999</v>
      </c>
      <c r="VA40" s="1590">
        <v>265036000</v>
      </c>
      <c r="VB40" s="1590">
        <v>35000000</v>
      </c>
      <c r="VC40" s="246"/>
      <c r="VD40" s="246"/>
      <c r="VE40" s="246"/>
      <c r="VF40" s="246"/>
      <c r="VG40" s="246"/>
      <c r="VH40" s="1275">
        <v>67045971.630000003</v>
      </c>
      <c r="VI40" s="246"/>
      <c r="VJ40" s="246"/>
      <c r="VK40" s="246"/>
      <c r="VL40" s="246"/>
      <c r="VM40" s="246"/>
      <c r="VN40" s="246"/>
      <c r="VO40" s="246"/>
      <c r="VP40" s="246"/>
      <c r="VQ40" s="246"/>
      <c r="VR40" s="246"/>
      <c r="VS40" s="246"/>
      <c r="VT40" s="246"/>
      <c r="VU40" s="231"/>
      <c r="VV40" s="231"/>
      <c r="VW40" s="290">
        <f>56300000+1450000000</f>
        <v>1506300000</v>
      </c>
      <c r="VX40" s="290">
        <v>1506300000</v>
      </c>
      <c r="VY40" s="295"/>
      <c r="VZ40" s="295"/>
      <c r="WA40" s="223"/>
      <c r="WB40" s="223"/>
      <c r="WC40" s="223"/>
      <c r="WD40" s="223"/>
      <c r="WE40" s="294">
        <v>-92116000</v>
      </c>
      <c r="WF40" s="294">
        <v>-3638032.59</v>
      </c>
      <c r="WG40" s="295"/>
      <c r="WH40" s="295"/>
      <c r="WI40" s="223"/>
      <c r="WJ40" s="223"/>
      <c r="WK40" s="223"/>
      <c r="WL40" s="223"/>
      <c r="WM40" s="223"/>
      <c r="WN40" s="223"/>
    </row>
    <row r="41" spans="1:612" s="395" customFormat="1" ht="18" x14ac:dyDescent="0.25">
      <c r="A41" s="223"/>
      <c r="B41" s="223"/>
      <c r="C41" s="449">
        <f>C40-C38</f>
        <v>0</v>
      </c>
      <c r="D41" s="231"/>
      <c r="F41" s="1763" t="s">
        <v>801</v>
      </c>
      <c r="G41" s="1763"/>
      <c r="I41" s="224"/>
      <c r="J41" s="224"/>
      <c r="K41" s="224"/>
      <c r="L41" s="224"/>
      <c r="M41" s="224"/>
      <c r="N41" s="1551"/>
      <c r="O41" s="1552"/>
      <c r="P41" s="1551"/>
      <c r="Q41" s="1551"/>
      <c r="R41" s="223"/>
      <c r="S41" s="223"/>
      <c r="T41" s="223"/>
      <c r="U41" s="223"/>
      <c r="V41" s="240"/>
      <c r="W41" s="223"/>
      <c r="X41" s="223"/>
      <c r="Y41" s="223"/>
      <c r="Z41" s="223"/>
      <c r="AA41" s="240"/>
      <c r="AB41" s="223"/>
      <c r="AC41" s="240"/>
      <c r="AD41" s="240"/>
      <c r="AE41" s="240"/>
      <c r="AF41" s="240"/>
      <c r="AG41" s="240"/>
      <c r="AH41" s="240"/>
      <c r="AI41" s="224"/>
      <c r="AJ41" s="922"/>
      <c r="AK41" s="922"/>
      <c r="AL41" s="243"/>
      <c r="AM41" s="243"/>
      <c r="AN41" s="243"/>
      <c r="AO41" s="243"/>
      <c r="AP41" s="243"/>
      <c r="AQ41" s="922"/>
      <c r="AR41" s="728"/>
      <c r="AS41" s="923"/>
      <c r="AT41" s="923"/>
      <c r="AU41" s="728"/>
      <c r="AV41" s="728"/>
      <c r="AW41" s="922"/>
      <c r="AX41" s="242"/>
      <c r="AY41" s="242"/>
      <c r="AZ41" s="242"/>
      <c r="BA41" s="922"/>
      <c r="BB41" s="242"/>
      <c r="BC41" s="242"/>
      <c r="BD41" s="788"/>
      <c r="BE41" s="922"/>
      <c r="BF41" s="259"/>
      <c r="BG41" s="259"/>
      <c r="BH41" s="259"/>
      <c r="BI41" s="922"/>
      <c r="BJ41" s="259"/>
      <c r="BK41" s="259"/>
      <c r="BL41" s="259"/>
      <c r="BM41" s="922"/>
      <c r="BN41" s="259"/>
      <c r="BO41" s="259"/>
      <c r="BP41" s="259"/>
      <c r="BQ41" s="922"/>
      <c r="BR41" s="259"/>
      <c r="BS41" s="259"/>
      <c r="BT41" s="259"/>
      <c r="BU41" s="243"/>
      <c r="BV41" s="243"/>
      <c r="BW41" s="243"/>
      <c r="BX41" s="243"/>
      <c r="BY41" s="272"/>
      <c r="BZ41" s="243"/>
      <c r="CA41" s="920"/>
      <c r="CB41" s="728"/>
      <c r="CC41" s="728"/>
      <c r="CD41" s="272"/>
      <c r="CE41" s="243"/>
      <c r="CF41" s="243"/>
      <c r="CG41" s="243"/>
      <c r="CH41" s="243"/>
      <c r="CI41" s="272"/>
      <c r="CJ41" s="243"/>
      <c r="CK41" s="243"/>
      <c r="CL41" s="243"/>
      <c r="CM41" s="243"/>
      <c r="CN41" s="272"/>
      <c r="CO41" s="272"/>
      <c r="CP41" s="272"/>
      <c r="CQ41" s="272"/>
      <c r="CR41" s="272"/>
      <c r="CS41" s="224"/>
      <c r="CT41" s="277">
        <f>CT40-CT38</f>
        <v>0</v>
      </c>
      <c r="CU41" s="224"/>
      <c r="CV41" s="224"/>
      <c r="CW41" s="224"/>
      <c r="CX41" s="224"/>
      <c r="CY41" s="224"/>
      <c r="CZ41" s="224"/>
      <c r="DA41" s="224"/>
      <c r="DB41" s="277">
        <f>DB40-DB38</f>
        <v>0</v>
      </c>
      <c r="DC41" s="224"/>
      <c r="DD41" s="224"/>
      <c r="DE41" s="224"/>
      <c r="DF41" s="224"/>
      <c r="DG41" s="224"/>
      <c r="DH41" s="224"/>
      <c r="DI41" s="243"/>
      <c r="DJ41" s="243"/>
      <c r="DK41" s="243"/>
      <c r="DL41" s="243"/>
      <c r="DM41" s="243"/>
      <c r="DN41" s="788"/>
      <c r="DO41" s="1641">
        <v>170204232.49000001</v>
      </c>
      <c r="DP41" s="788"/>
      <c r="DQ41" s="277"/>
      <c r="DR41" s="277"/>
      <c r="DS41" s="277"/>
      <c r="DT41" s="277"/>
      <c r="DU41" s="277"/>
      <c r="DV41" s="277"/>
      <c r="DW41" s="277"/>
      <c r="DX41" s="277"/>
      <c r="DY41" s="788"/>
      <c r="DZ41" s="788"/>
      <c r="EA41" s="788"/>
      <c r="EB41" s="788"/>
      <c r="EC41" s="788"/>
      <c r="ED41" s="788"/>
      <c r="EE41" s="243"/>
      <c r="EF41" s="243"/>
      <c r="EG41" s="243"/>
      <c r="EH41" s="243"/>
      <c r="EI41" s="1641">
        <v>2827053</v>
      </c>
      <c r="EJ41" s="788"/>
      <c r="EK41" s="243"/>
      <c r="EL41" s="243"/>
      <c r="EM41" s="243"/>
      <c r="EN41" s="243"/>
      <c r="EO41" s="243"/>
      <c r="EP41" s="243"/>
      <c r="EQ41" s="243"/>
      <c r="ER41" s="243"/>
      <c r="ES41" s="1641">
        <v>481340.31</v>
      </c>
      <c r="ET41" s="788"/>
      <c r="EU41" s="1467">
        <v>0</v>
      </c>
      <c r="EV41" s="788"/>
      <c r="EW41" s="1641">
        <v>0</v>
      </c>
      <c r="EX41" s="788"/>
      <c r="EY41" s="243"/>
      <c r="EZ41" s="243"/>
      <c r="FA41" s="243"/>
      <c r="FB41" s="243"/>
      <c r="FC41" s="1641">
        <v>25526315.789999999</v>
      </c>
      <c r="FD41" s="788"/>
      <c r="FE41" s="243"/>
      <c r="FF41" s="243"/>
      <c r="FG41" s="243"/>
      <c r="FH41" s="243"/>
      <c r="FI41" s="1641">
        <v>46995475.979999997</v>
      </c>
      <c r="FJ41" s="788"/>
      <c r="FK41" s="788"/>
      <c r="FL41" s="788"/>
      <c r="FM41" s="788"/>
      <c r="FN41" s="788"/>
      <c r="FO41" s="1641">
        <v>82348129.359999999</v>
      </c>
      <c r="FP41" s="788"/>
      <c r="FQ41" s="788"/>
      <c r="FR41" s="788"/>
      <c r="FS41" s="788"/>
      <c r="FT41" s="788"/>
      <c r="FU41" s="1641">
        <v>48296830.340000004</v>
      </c>
      <c r="FV41" s="788"/>
      <c r="FW41" s="788"/>
      <c r="FX41" s="788"/>
      <c r="FY41" s="788"/>
      <c r="FZ41" s="788"/>
      <c r="GA41" s="788"/>
      <c r="GB41" s="788"/>
      <c r="GC41" s="788"/>
      <c r="GD41" s="788"/>
      <c r="GE41" s="788"/>
      <c r="GF41" s="788"/>
      <c r="GG41" s="788"/>
      <c r="GH41" s="788"/>
      <c r="GI41" s="788"/>
      <c r="GJ41" s="788"/>
      <c r="GK41" s="1641">
        <v>11162192.380000001</v>
      </c>
      <c r="GL41" s="788"/>
      <c r="GM41" s="891"/>
      <c r="GN41" s="891"/>
      <c r="GO41" s="891"/>
      <c r="GP41" s="891"/>
      <c r="GQ41" s="1641">
        <v>2826804.55</v>
      </c>
      <c r="GR41" s="891"/>
      <c r="GS41" s="891"/>
      <c r="GT41" s="891"/>
      <c r="GU41" s="891"/>
      <c r="GV41" s="891"/>
      <c r="GW41" s="891"/>
      <c r="GX41" s="891"/>
      <c r="GY41" s="891"/>
      <c r="GZ41" s="891"/>
      <c r="HA41" s="891"/>
      <c r="HB41" s="891"/>
      <c r="HC41" s="891"/>
      <c r="HD41" s="891"/>
      <c r="HE41" s="891"/>
      <c r="HF41" s="891"/>
      <c r="HG41" s="891"/>
      <c r="HH41" s="891"/>
      <c r="HI41" s="891"/>
      <c r="HJ41" s="891"/>
      <c r="HK41" s="788"/>
      <c r="HL41" s="788"/>
      <c r="HM41" s="788"/>
      <c r="HN41" s="788"/>
      <c r="HO41" s="1641">
        <v>3740139</v>
      </c>
      <c r="HP41" s="788"/>
      <c r="HU41" s="1641">
        <v>18938491.699999999</v>
      </c>
      <c r="HV41" s="924"/>
      <c r="IQ41" s="259"/>
      <c r="IR41" s="259"/>
      <c r="IS41" s="259"/>
      <c r="IT41" s="259"/>
      <c r="IU41" s="259"/>
      <c r="IV41" s="259"/>
      <c r="IW41" s="259"/>
      <c r="IX41" s="259"/>
      <c r="IY41" s="259"/>
      <c r="IZ41" s="259"/>
      <c r="JA41" s="259"/>
      <c r="JB41" s="259"/>
      <c r="JC41" s="259"/>
      <c r="JD41" s="1641">
        <v>3601228.12</v>
      </c>
      <c r="JE41" s="891"/>
      <c r="JF41" s="1641">
        <v>39626688.990000002</v>
      </c>
      <c r="JG41" s="788"/>
      <c r="JH41" s="1641">
        <v>36763956.710000001</v>
      </c>
      <c r="JI41" s="891"/>
      <c r="JJ41" s="788"/>
      <c r="JK41" s="259"/>
      <c r="JL41" s="259"/>
      <c r="JM41" s="259"/>
      <c r="JN41" s="259"/>
      <c r="JO41" s="259"/>
      <c r="JP41" s="259"/>
      <c r="JQ41" s="259"/>
      <c r="JR41" s="259"/>
      <c r="JS41" s="259"/>
      <c r="JT41" s="259"/>
      <c r="JU41" s="245"/>
      <c r="JV41" s="1621"/>
      <c r="JW41" s="1620"/>
      <c r="JX41" s="1001"/>
      <c r="JY41" s="1001"/>
      <c r="JZ41" s="245"/>
      <c r="KA41" s="1621"/>
      <c r="KB41" s="1620"/>
      <c r="KC41" s="1001"/>
      <c r="KD41" s="1001"/>
      <c r="KE41" s="245"/>
      <c r="KF41" s="1621"/>
      <c r="KG41" s="1620"/>
      <c r="KH41" s="1001"/>
      <c r="KI41" s="1001"/>
      <c r="KJ41" s="245"/>
      <c r="KK41" s="1621"/>
      <c r="KL41" s="1620"/>
      <c r="KM41" s="1001"/>
      <c r="KN41" s="1001"/>
      <c r="KO41" s="245"/>
      <c r="KP41" s="245"/>
      <c r="KQ41" s="245"/>
      <c r="KR41" s="1091"/>
      <c r="KS41" s="245"/>
      <c r="KT41" s="1641">
        <v>209487931.58000001</v>
      </c>
      <c r="KU41" s="891"/>
      <c r="KV41" s="891"/>
      <c r="KW41" s="245"/>
      <c r="KX41" s="1094"/>
      <c r="KY41" s="245"/>
      <c r="KZ41" s="923"/>
      <c r="LF41" s="1641">
        <v>248301275.63999999</v>
      </c>
      <c r="LG41" s="788"/>
      <c r="LH41" s="788"/>
      <c r="MG41" s="243"/>
      <c r="MH41" s="243"/>
      <c r="MI41" s="243"/>
      <c r="MJ41" s="243"/>
      <c r="MK41" s="243"/>
      <c r="ML41" s="243"/>
      <c r="MM41" s="1641">
        <v>11299452.939999999</v>
      </c>
      <c r="MN41" s="788"/>
      <c r="MO41" s="1641">
        <v>0</v>
      </c>
      <c r="MP41" s="788"/>
      <c r="MQ41" s="243"/>
      <c r="MR41" s="243"/>
      <c r="MS41" s="243"/>
      <c r="MT41" s="243"/>
      <c r="MU41" s="243"/>
      <c r="MV41" s="243"/>
      <c r="MW41" s="243"/>
      <c r="MX41" s="243"/>
      <c r="MY41" s="243"/>
      <c r="MZ41" s="243"/>
      <c r="NA41" s="243"/>
      <c r="NB41" s="243"/>
      <c r="NC41" s="243"/>
      <c r="ND41" s="243"/>
      <c r="NE41" s="243"/>
      <c r="NF41" s="243"/>
      <c r="NG41" s="243"/>
      <c r="NH41" s="243"/>
      <c r="NI41" s="243"/>
      <c r="NJ41" s="243"/>
      <c r="NK41" s="788"/>
      <c r="NL41" s="788"/>
      <c r="NM41" s="788"/>
      <c r="NN41" s="788"/>
      <c r="NO41" s="1641">
        <v>58528754.009999998</v>
      </c>
      <c r="NP41" s="891"/>
      <c r="NQ41" s="243"/>
      <c r="NR41" s="243"/>
      <c r="NS41" s="243"/>
      <c r="NT41" s="243"/>
      <c r="NU41" s="243"/>
      <c r="NV41" s="243"/>
      <c r="NW41" s="243"/>
      <c r="NX41" s="1124"/>
      <c r="NY41" s="1275">
        <v>0</v>
      </c>
      <c r="NZ41" s="788"/>
      <c r="OA41" s="1641">
        <v>26836004.960000001</v>
      </c>
      <c r="OB41" s="788"/>
      <c r="OC41" s="1641">
        <v>109618958.12</v>
      </c>
      <c r="OD41" s="788"/>
      <c r="OE41" s="243"/>
      <c r="OF41" s="243"/>
      <c r="OG41" s="243"/>
      <c r="OH41" s="243"/>
      <c r="OI41" s="243"/>
      <c r="OJ41" s="243"/>
      <c r="OK41" s="243"/>
      <c r="OL41" s="243"/>
      <c r="OM41" s="1641">
        <v>11877721.65</v>
      </c>
      <c r="ON41" s="788"/>
      <c r="OO41" s="243"/>
      <c r="OP41" s="243"/>
      <c r="OQ41" s="243"/>
      <c r="OR41" s="243"/>
      <c r="OS41" s="243"/>
      <c r="OT41" s="243"/>
      <c r="OU41" s="243"/>
      <c r="OV41" s="243"/>
      <c r="OW41" s="243"/>
      <c r="OX41" s="243"/>
      <c r="OY41" s="243"/>
      <c r="OZ41" s="243"/>
      <c r="PA41" s="243"/>
      <c r="PB41" s="243"/>
      <c r="PC41" s="243"/>
      <c r="PD41" s="243"/>
      <c r="PE41" s="243"/>
      <c r="PF41" s="243"/>
      <c r="PG41" s="243"/>
      <c r="PH41" s="243"/>
      <c r="PI41" s="243"/>
      <c r="PJ41" s="243"/>
      <c r="PK41" s="243"/>
      <c r="PL41" s="243"/>
      <c r="PM41" s="243"/>
      <c r="PN41" s="243"/>
      <c r="PO41" s="243"/>
      <c r="PP41" s="243"/>
      <c r="PQ41" s="243"/>
      <c r="PR41" s="243"/>
      <c r="PS41" s="243"/>
      <c r="PT41" s="243"/>
      <c r="PU41" s="243"/>
      <c r="PV41" s="243"/>
      <c r="PW41" s="243"/>
      <c r="PX41" s="243"/>
      <c r="PY41" s="1467">
        <v>0</v>
      </c>
      <c r="PZ41" s="788"/>
      <c r="QA41" s="243"/>
      <c r="QB41" s="243"/>
      <c r="QC41" s="243"/>
      <c r="QD41" s="243"/>
      <c r="QE41" s="243"/>
      <c r="QF41" s="243"/>
      <c r="QG41" s="243"/>
      <c r="QH41" s="243"/>
      <c r="QI41" s="243"/>
      <c r="QJ41" s="243"/>
      <c r="QK41" s="243"/>
      <c r="QL41" s="243"/>
      <c r="QM41" s="243"/>
      <c r="QN41" s="243"/>
      <c r="QO41" s="243"/>
      <c r="QP41" s="243"/>
      <c r="QQ41" s="243"/>
      <c r="QR41" s="243"/>
      <c r="QS41" s="224"/>
      <c r="QT41" s="224"/>
      <c r="QU41" s="224"/>
      <c r="QV41" s="224"/>
      <c r="QW41" s="224"/>
      <c r="QX41" s="224"/>
      <c r="QY41" s="224"/>
      <c r="QZ41" s="224"/>
      <c r="RA41" s="231"/>
      <c r="RB41" s="223"/>
      <c r="RC41" s="223"/>
      <c r="RD41" s="225"/>
      <c r="RE41" s="223"/>
      <c r="RF41" s="225"/>
      <c r="RG41" s="245"/>
      <c r="RH41" s="245"/>
      <c r="RI41" s="245"/>
      <c r="RJ41" s="245"/>
      <c r="RK41" s="245"/>
      <c r="RL41" s="245"/>
      <c r="RM41" s="224"/>
      <c r="RN41" s="244"/>
      <c r="RO41" s="224"/>
      <c r="RP41" s="224"/>
      <c r="RQ41" s="244"/>
      <c r="RR41" s="244"/>
      <c r="RS41" s="224"/>
      <c r="RT41" s="224"/>
      <c r="RU41" s="224"/>
      <c r="RV41" s="224"/>
      <c r="RW41" s="224"/>
      <c r="RX41" s="224"/>
      <c r="RY41" s="224"/>
      <c r="RZ41" s="224"/>
      <c r="SA41" s="1637">
        <v>232529105.58000001</v>
      </c>
      <c r="SB41" s="788"/>
      <c r="SC41" s="224"/>
      <c r="SD41" s="224"/>
      <c r="SE41" s="224"/>
      <c r="SF41" s="224"/>
      <c r="SG41" s="224"/>
      <c r="SH41" s="224"/>
      <c r="SI41" s="224"/>
      <c r="SJ41" s="224"/>
      <c r="SK41" s="224"/>
      <c r="SL41" s="224"/>
      <c r="SM41" s="224"/>
      <c r="SN41" s="224"/>
      <c r="SO41" s="224"/>
      <c r="SP41" s="224"/>
      <c r="SQ41" s="1639">
        <v>332262886.93000001</v>
      </c>
      <c r="SR41" s="788"/>
      <c r="SS41" s="224"/>
      <c r="ST41" s="224"/>
      <c r="SU41" s="224"/>
      <c r="SV41" s="224"/>
      <c r="SW41" s="788"/>
      <c r="SX41" s="788"/>
      <c r="SY41" s="224"/>
      <c r="SZ41" s="224"/>
      <c r="TA41" s="224"/>
      <c r="TB41" s="921"/>
      <c r="TC41" s="224"/>
      <c r="TD41" s="224"/>
      <c r="TE41" s="224"/>
      <c r="TF41" s="224"/>
      <c r="TG41" s="224"/>
      <c r="TH41" s="224"/>
      <c r="TI41" s="224"/>
      <c r="TJ41" s="224"/>
      <c r="TK41" s="224"/>
      <c r="TL41" s="224"/>
      <c r="TM41" s="224"/>
      <c r="TN41" s="224"/>
      <c r="TO41" s="1275">
        <v>169152288.16999999</v>
      </c>
      <c r="TP41" s="924"/>
      <c r="TQ41" s="224"/>
      <c r="TR41" s="224"/>
      <c r="TS41" s="224"/>
      <c r="TT41" s="224"/>
      <c r="TU41" s="224"/>
      <c r="TV41" s="224"/>
      <c r="TW41" s="224"/>
      <c r="TX41" s="224"/>
      <c r="TY41" s="224"/>
      <c r="TZ41" s="224"/>
      <c r="UA41" s="224"/>
      <c r="UB41" s="224"/>
      <c r="UC41" s="224"/>
      <c r="UD41" s="224"/>
      <c r="UE41" s="1305">
        <v>1000000</v>
      </c>
      <c r="UF41" s="924"/>
      <c r="UG41" s="224"/>
      <c r="UH41" s="224"/>
      <c r="UI41" s="224"/>
      <c r="UJ41" s="224"/>
      <c r="UK41" s="224"/>
      <c r="UL41" s="1305">
        <v>5000000</v>
      </c>
      <c r="UM41" s="924"/>
      <c r="UN41" s="924"/>
      <c r="UO41" s="259"/>
      <c r="UP41" s="259"/>
      <c r="UQ41" s="259"/>
      <c r="UR41" s="259"/>
      <c r="US41" s="259"/>
      <c r="UT41" s="259"/>
      <c r="UU41" s="259"/>
      <c r="UV41" s="259"/>
      <c r="UW41" s="259"/>
      <c r="UX41" s="259"/>
      <c r="UY41" s="259"/>
      <c r="UZ41" s="259"/>
      <c r="VA41" s="259"/>
      <c r="VB41" s="259"/>
      <c r="VC41" s="259"/>
      <c r="VD41" s="259"/>
      <c r="VE41" s="259"/>
      <c r="VF41" s="259"/>
      <c r="VG41" s="259"/>
      <c r="VH41" s="259"/>
      <c r="VI41" s="246"/>
      <c r="VJ41" s="246"/>
      <c r="VK41" s="246"/>
      <c r="VL41" s="246"/>
      <c r="VM41" s="246"/>
      <c r="VN41" s="246"/>
      <c r="VO41" s="246"/>
      <c r="VP41" s="246"/>
      <c r="VQ41" s="246"/>
      <c r="VR41" s="246"/>
      <c r="VS41" s="246"/>
      <c r="VT41" s="246"/>
      <c r="VU41" s="231"/>
      <c r="VV41" s="231"/>
      <c r="VW41" s="291">
        <f>VW40-VW38</f>
        <v>0</v>
      </c>
      <c r="VX41" s="291">
        <f>VX40-VX38</f>
        <v>0</v>
      </c>
      <c r="VY41" s="295"/>
      <c r="VZ41" s="295"/>
      <c r="WA41" s="223"/>
      <c r="WB41" s="223"/>
      <c r="WC41" s="223"/>
      <c r="WD41" s="223"/>
      <c r="WE41" s="291">
        <f>WE40-WE38</f>
        <v>0</v>
      </c>
      <c r="WF41" s="291">
        <f>WF40-WF38</f>
        <v>0</v>
      </c>
      <c r="WG41" s="295"/>
      <c r="WH41" s="295"/>
      <c r="WI41" s="223"/>
      <c r="WJ41" s="223"/>
      <c r="WK41" s="223"/>
      <c r="WL41" s="223"/>
      <c r="WM41" s="223"/>
      <c r="WN41" s="223"/>
    </row>
    <row r="42" spans="1:612" s="395" customFormat="1" ht="19.5" customHeight="1" x14ac:dyDescent="0.25">
      <c r="A42" s="221"/>
      <c r="B42" s="222"/>
      <c r="C42" s="223"/>
      <c r="D42" s="231"/>
      <c r="I42" s="224"/>
      <c r="J42" s="224"/>
      <c r="K42" s="224"/>
      <c r="L42" s="224"/>
      <c r="M42" s="224"/>
      <c r="N42" s="1554"/>
      <c r="O42" s="224"/>
      <c r="P42" s="224"/>
      <c r="Q42" s="223"/>
      <c r="R42" s="223"/>
      <c r="S42" s="223"/>
      <c r="T42" s="223"/>
      <c r="U42" s="223"/>
      <c r="V42" s="240"/>
      <c r="W42" s="223"/>
      <c r="X42" s="223"/>
      <c r="Y42" s="223"/>
      <c r="Z42" s="223"/>
      <c r="AA42" s="240"/>
      <c r="AB42" s="223"/>
      <c r="AC42" s="240"/>
      <c r="AD42" s="240"/>
      <c r="AE42" s="240"/>
      <c r="AF42" s="240"/>
      <c r="AG42" s="240"/>
      <c r="AH42" s="240"/>
      <c r="AI42" s="225"/>
      <c r="AJ42" s="271"/>
      <c r="AK42" s="271"/>
      <c r="AL42" s="243"/>
      <c r="AM42" s="243"/>
      <c r="AN42" s="243"/>
      <c r="AO42" s="243"/>
      <c r="AP42" s="243"/>
      <c r="AQ42" s="271"/>
      <c r="AR42" s="277">
        <f>AR40-AR38</f>
        <v>0</v>
      </c>
      <c r="AS42" s="277">
        <f>AS40-AS38</f>
        <v>0</v>
      </c>
      <c r="AT42" s="277"/>
      <c r="AU42" s="277">
        <f>AU40-AU38</f>
        <v>0</v>
      </c>
      <c r="AV42" s="277"/>
      <c r="AW42" s="271"/>
      <c r="AX42" s="242"/>
      <c r="AY42" s="242"/>
      <c r="AZ42" s="242"/>
      <c r="BA42" s="271"/>
      <c r="BB42" s="242"/>
      <c r="BC42" s="242"/>
      <c r="BD42" s="277"/>
      <c r="BE42" s="271"/>
      <c r="BF42" s="259"/>
      <c r="BG42" s="259"/>
      <c r="BH42" s="259"/>
      <c r="BI42" s="271"/>
      <c r="BJ42" s="259"/>
      <c r="BK42" s="259"/>
      <c r="BL42" s="259"/>
      <c r="BM42" s="271"/>
      <c r="BN42" s="259"/>
      <c r="BO42" s="259"/>
      <c r="BP42" s="259"/>
      <c r="BQ42" s="271"/>
      <c r="BR42" s="259"/>
      <c r="BS42" s="259"/>
      <c r="BT42" s="259"/>
      <c r="BU42" s="243"/>
      <c r="BV42" s="243"/>
      <c r="BW42" s="243"/>
      <c r="BX42" s="243"/>
      <c r="BY42" s="277"/>
      <c r="BZ42" s="243"/>
      <c r="CA42" s="277">
        <f>CA40-CA38</f>
        <v>0</v>
      </c>
      <c r="CB42" s="277">
        <f>CB40-CB38</f>
        <v>0</v>
      </c>
      <c r="CC42" s="277">
        <f>CC40-CC38</f>
        <v>0</v>
      </c>
      <c r="CD42" s="277">
        <f>CD40-CD38</f>
        <v>0</v>
      </c>
      <c r="CE42" s="243"/>
      <c r="CF42" s="243"/>
      <c r="CG42" s="243"/>
      <c r="CH42" s="243"/>
      <c r="CI42" s="277"/>
      <c r="CJ42" s="243"/>
      <c r="CK42" s="243"/>
      <c r="CL42" s="243"/>
      <c r="CM42" s="243"/>
      <c r="CN42" s="277"/>
      <c r="CO42" s="272"/>
      <c r="CP42" s="272"/>
      <c r="CQ42" s="272"/>
      <c r="CR42" s="272"/>
      <c r="CT42" s="277"/>
      <c r="CU42" s="224"/>
      <c r="CV42" s="224"/>
      <c r="CW42" s="224"/>
      <c r="CX42" s="224"/>
      <c r="CY42" s="224"/>
      <c r="CZ42" s="224"/>
      <c r="DA42" s="224"/>
      <c r="DC42" s="224"/>
      <c r="DD42" s="224"/>
      <c r="DE42" s="224"/>
      <c r="DF42" s="224"/>
      <c r="DG42" s="224"/>
      <c r="DH42" s="224"/>
      <c r="DI42" s="243"/>
      <c r="DJ42" s="243"/>
      <c r="DK42" s="243"/>
      <c r="DL42" s="243"/>
      <c r="DM42" s="243"/>
      <c r="DN42" s="277">
        <f>DN40-DN37</f>
        <v>0</v>
      </c>
      <c r="DO42" s="277">
        <f>DO40-DO37</f>
        <v>0</v>
      </c>
      <c r="DP42" s="277">
        <f>DP40-DP37</f>
        <v>0</v>
      </c>
      <c r="DQ42" s="277"/>
      <c r="DR42" s="277"/>
      <c r="DS42" s="277"/>
      <c r="DT42" s="277"/>
      <c r="DU42" s="277"/>
      <c r="DV42" s="277"/>
      <c r="DW42" s="277"/>
      <c r="DX42" s="277"/>
      <c r="DY42" s="277">
        <f>DY40-DY37</f>
        <v>0</v>
      </c>
      <c r="DZ42" s="277"/>
      <c r="EA42" s="277"/>
      <c r="EB42" s="277">
        <f>EB40-EB37</f>
        <v>0</v>
      </c>
      <c r="EC42" s="277">
        <f>EC40-EC37</f>
        <v>0</v>
      </c>
      <c r="ED42" s="277">
        <f>ED40-ED37</f>
        <v>0</v>
      </c>
      <c r="EE42" s="243"/>
      <c r="EF42" s="243"/>
      <c r="EG42" s="243"/>
      <c r="EH42" s="243"/>
      <c r="EI42" s="277">
        <f>EI40-EI37</f>
        <v>-2.3283064365386963E-10</v>
      </c>
      <c r="EJ42" s="277">
        <f>EJ40-EJ37</f>
        <v>0</v>
      </c>
      <c r="EK42" s="243"/>
      <c r="EL42" s="243"/>
      <c r="EM42" s="243"/>
      <c r="EN42" s="243"/>
      <c r="EO42" s="243"/>
      <c r="EP42" s="243"/>
      <c r="EQ42" s="243"/>
      <c r="ER42" s="243"/>
      <c r="ES42" s="277">
        <f t="shared" ref="ES42:EX42" si="631">ES40-ES37</f>
        <v>0</v>
      </c>
      <c r="ET42" s="277">
        <f t="shared" si="631"/>
        <v>0</v>
      </c>
      <c r="EU42" s="277">
        <f t="shared" si="631"/>
        <v>0</v>
      </c>
      <c r="EV42" s="277">
        <f t="shared" si="631"/>
        <v>0</v>
      </c>
      <c r="EW42" s="277">
        <f t="shared" si="631"/>
        <v>0</v>
      </c>
      <c r="EX42" s="277">
        <f t="shared" si="631"/>
        <v>0</v>
      </c>
      <c r="EY42" s="243"/>
      <c r="EZ42" s="243"/>
      <c r="FA42" s="243"/>
      <c r="FB42" s="243"/>
      <c r="FC42" s="277">
        <f>FC40-FC37</f>
        <v>-9.3132257461547852E-10</v>
      </c>
      <c r="FD42" s="277">
        <f>FD40-FD37</f>
        <v>0</v>
      </c>
      <c r="FE42" s="243"/>
      <c r="FF42" s="243"/>
      <c r="FG42" s="243"/>
      <c r="FH42" s="243"/>
      <c r="FI42" s="277">
        <f>FI40-FI37</f>
        <v>0</v>
      </c>
      <c r="FJ42" s="277">
        <f>FJ40-FJ37</f>
        <v>0</v>
      </c>
      <c r="FK42" s="277"/>
      <c r="FL42" s="277"/>
      <c r="FM42" s="277"/>
      <c r="FN42" s="277"/>
      <c r="FO42" s="277">
        <f>FO40-FO37</f>
        <v>-6.0535967350006104E-9</v>
      </c>
      <c r="FP42" s="277">
        <f>FP40-FP37</f>
        <v>0</v>
      </c>
      <c r="FQ42" s="277"/>
      <c r="FR42" s="277"/>
      <c r="FS42" s="277"/>
      <c r="FT42" s="277"/>
      <c r="FU42" s="277">
        <f>FU40-FU37</f>
        <v>0</v>
      </c>
      <c r="FV42" s="277">
        <f>FV40-FV37</f>
        <v>0</v>
      </c>
      <c r="FW42" s="277"/>
      <c r="FX42" s="277"/>
      <c r="FY42" s="277"/>
      <c r="FZ42" s="277"/>
      <c r="GA42" s="277"/>
      <c r="GB42" s="277"/>
      <c r="GC42" s="277"/>
      <c r="GD42" s="277"/>
      <c r="GE42" s="277"/>
      <c r="GF42" s="277"/>
      <c r="GG42" s="277"/>
      <c r="GH42" s="277"/>
      <c r="GI42" s="277"/>
      <c r="GJ42" s="277"/>
      <c r="GK42" s="277">
        <f>GK40-GK37</f>
        <v>0</v>
      </c>
      <c r="GL42" s="277">
        <f>GL40-GL37</f>
        <v>0</v>
      </c>
      <c r="GM42" s="277"/>
      <c r="GN42" s="277"/>
      <c r="GO42" s="277"/>
      <c r="GP42" s="277"/>
      <c r="GQ42" s="277">
        <f>GQ40-GQ38</f>
        <v>0</v>
      </c>
      <c r="GR42" s="277">
        <f>GR40-GR38</f>
        <v>0</v>
      </c>
      <c r="GS42" s="277"/>
      <c r="GT42" s="277"/>
      <c r="GU42" s="277"/>
      <c r="GV42" s="277"/>
      <c r="GW42" s="277"/>
      <c r="GX42" s="277"/>
      <c r="GY42" s="277"/>
      <c r="GZ42" s="277"/>
      <c r="HA42" s="277"/>
      <c r="HB42" s="277"/>
      <c r="HC42" s="277"/>
      <c r="HD42" s="277"/>
      <c r="HE42" s="277"/>
      <c r="HF42" s="277"/>
      <c r="HG42" s="277"/>
      <c r="HH42" s="277"/>
      <c r="HI42" s="277"/>
      <c r="HJ42" s="277"/>
      <c r="HK42" s="277"/>
      <c r="HL42" s="277"/>
      <c r="HM42" s="277"/>
      <c r="HN42" s="277"/>
      <c r="HO42" s="277">
        <f>HO40-HO37</f>
        <v>0</v>
      </c>
      <c r="HP42" s="277">
        <f>HP40-HP37</f>
        <v>0</v>
      </c>
      <c r="HU42" s="277">
        <f>HU40-HU38</f>
        <v>0</v>
      </c>
      <c r="HV42" s="277">
        <f>HV40-HV38</f>
        <v>0</v>
      </c>
      <c r="IQ42" s="259"/>
      <c r="IR42" s="259"/>
      <c r="IS42" s="259"/>
      <c r="IT42" s="259"/>
      <c r="IU42" s="259"/>
      <c r="IV42" s="259"/>
      <c r="IW42" s="259"/>
      <c r="IX42" s="259"/>
      <c r="IY42" s="259"/>
      <c r="IZ42" s="259"/>
      <c r="JA42" s="259"/>
      <c r="JB42" s="259"/>
      <c r="JC42" s="259"/>
      <c r="JD42" s="259">
        <f>JD40-JD38</f>
        <v>0</v>
      </c>
      <c r="JE42" s="259">
        <f>JE40-JE38</f>
        <v>0</v>
      </c>
      <c r="JF42" s="277">
        <f>JF40-JF37</f>
        <v>0</v>
      </c>
      <c r="JG42" s="277">
        <f>JG40-JG37</f>
        <v>0</v>
      </c>
      <c r="JH42" s="259">
        <f t="shared" ref="JH42:JI42" si="632">JH40-JH37</f>
        <v>4.6566128730773926E-9</v>
      </c>
      <c r="JI42" s="259">
        <f t="shared" si="632"/>
        <v>0</v>
      </c>
      <c r="JJ42" s="259">
        <f>JJ40-JJ37</f>
        <v>0</v>
      </c>
      <c r="JK42" s="259"/>
      <c r="JL42" s="259"/>
      <c r="JM42" s="259"/>
      <c r="JN42" s="259"/>
      <c r="JO42" s="259"/>
      <c r="JP42" s="259"/>
      <c r="JQ42" s="259"/>
      <c r="JR42" s="259"/>
      <c r="JS42" s="259"/>
      <c r="JT42" s="259"/>
      <c r="JU42" s="245"/>
      <c r="JV42" s="1621"/>
      <c r="JW42" s="1620"/>
      <c r="JX42" s="1001"/>
      <c r="JY42" s="1001"/>
      <c r="JZ42" s="245"/>
      <c r="KA42" s="1621"/>
      <c r="KB42" s="1620"/>
      <c r="KC42" s="1001"/>
      <c r="KD42" s="1001"/>
      <c r="KE42" s="245"/>
      <c r="KF42" s="1621"/>
      <c r="KG42" s="1620"/>
      <c r="KH42" s="1001"/>
      <c r="KI42" s="1001"/>
      <c r="KJ42" s="245"/>
      <c r="KK42" s="1621"/>
      <c r="KL42" s="1620"/>
      <c r="KM42" s="1001"/>
      <c r="KN42" s="1001"/>
      <c r="KO42" s="245"/>
      <c r="KP42" s="245"/>
      <c r="KQ42" s="245"/>
      <c r="KR42" s="1091"/>
      <c r="KS42" s="245"/>
      <c r="KT42" s="277">
        <f>KT40-KT37</f>
        <v>0</v>
      </c>
      <c r="KU42" s="277">
        <f>KU40-KU37</f>
        <v>0</v>
      </c>
      <c r="KV42" s="277">
        <f>KV40-KV37</f>
        <v>0</v>
      </c>
      <c r="KW42" s="245"/>
      <c r="KX42" s="1094"/>
      <c r="KY42" s="245"/>
      <c r="KZ42" s="277">
        <f t="shared" ref="KZ42" si="633">KZ40-KZ37</f>
        <v>0</v>
      </c>
      <c r="LF42" s="277">
        <f>LF40-LF38</f>
        <v>0</v>
      </c>
      <c r="LG42" s="277">
        <f>LG40-LG38</f>
        <v>0</v>
      </c>
      <c r="LH42" s="277">
        <f>LH40-LH38</f>
        <v>0</v>
      </c>
      <c r="MG42" s="243"/>
      <c r="MH42" s="243"/>
      <c r="MI42" s="243"/>
      <c r="MJ42" s="243"/>
      <c r="MK42" s="243"/>
      <c r="ML42" s="243"/>
      <c r="MM42" s="277">
        <f>MM40-MM37</f>
        <v>-1.0477378964424133E-9</v>
      </c>
      <c r="MN42" s="277">
        <f>MN40-MN37</f>
        <v>0</v>
      </c>
      <c r="MO42" s="277">
        <f>MO40-MO37</f>
        <v>0</v>
      </c>
      <c r="MP42" s="277">
        <f>MP40-MP37</f>
        <v>0</v>
      </c>
      <c r="MQ42" s="243"/>
      <c r="MR42" s="243"/>
      <c r="MS42" s="243"/>
      <c r="MT42" s="243"/>
      <c r="MU42" s="243"/>
      <c r="MV42" s="243"/>
      <c r="MW42" s="243"/>
      <c r="MX42" s="243"/>
      <c r="MY42" s="243"/>
      <c r="MZ42" s="243"/>
      <c r="NA42" s="243"/>
      <c r="NB42" s="243"/>
      <c r="NC42" s="243"/>
      <c r="ND42" s="243"/>
      <c r="NE42" s="243"/>
      <c r="NF42" s="243"/>
      <c r="NG42" s="243"/>
      <c r="NH42" s="243"/>
      <c r="NI42" s="243"/>
      <c r="NJ42" s="243"/>
      <c r="NK42" s="277"/>
      <c r="NL42" s="277"/>
      <c r="NM42" s="277"/>
      <c r="NN42" s="277"/>
      <c r="NO42" s="277">
        <f>NO40-NO37</f>
        <v>0</v>
      </c>
      <c r="NP42" s="277">
        <f>NP40-NP37</f>
        <v>0</v>
      </c>
      <c r="NQ42" s="243"/>
      <c r="NR42" s="243"/>
      <c r="NS42" s="243"/>
      <c r="NT42" s="243"/>
      <c r="NU42" s="243"/>
      <c r="NV42" s="243"/>
      <c r="NW42" s="243"/>
      <c r="NX42" s="243"/>
      <c r="NY42" s="277">
        <f t="shared" ref="NY42:OD42" si="634">NY40-NY37</f>
        <v>0</v>
      </c>
      <c r="NZ42" s="277">
        <f t="shared" si="634"/>
        <v>0</v>
      </c>
      <c r="OA42" s="277">
        <f t="shared" si="634"/>
        <v>1.862645149230957E-9</v>
      </c>
      <c r="OB42" s="277">
        <f t="shared" si="634"/>
        <v>0</v>
      </c>
      <c r="OC42" s="277">
        <f t="shared" si="634"/>
        <v>0</v>
      </c>
      <c r="OD42" s="277">
        <f t="shared" si="634"/>
        <v>0</v>
      </c>
      <c r="OE42" s="243"/>
      <c r="OF42" s="243"/>
      <c r="OG42" s="243"/>
      <c r="OH42" s="243"/>
      <c r="OI42" s="243"/>
      <c r="OJ42" s="243"/>
      <c r="OK42" s="243"/>
      <c r="OL42" s="243"/>
      <c r="OM42" s="277">
        <f>OM40-OM37</f>
        <v>0</v>
      </c>
      <c r="ON42" s="277">
        <f>ON40-ON37</f>
        <v>0</v>
      </c>
      <c r="OO42" s="243"/>
      <c r="OP42" s="243"/>
      <c r="OQ42" s="243"/>
      <c r="OR42" s="243"/>
      <c r="OS42" s="243"/>
      <c r="OT42" s="243"/>
      <c r="OU42" s="243"/>
      <c r="OV42" s="243"/>
      <c r="OW42" s="243"/>
      <c r="OX42" s="243"/>
      <c r="OY42" s="243"/>
      <c r="OZ42" s="243"/>
      <c r="PA42" s="243"/>
      <c r="PB42" s="243"/>
      <c r="PC42" s="243"/>
      <c r="PD42" s="243"/>
      <c r="PE42" s="243"/>
      <c r="PF42" s="243"/>
      <c r="PG42" s="243"/>
      <c r="PH42" s="243"/>
      <c r="PI42" s="243"/>
      <c r="PJ42" s="243"/>
      <c r="PK42" s="243"/>
      <c r="PL42" s="243"/>
      <c r="PM42" s="243"/>
      <c r="PN42" s="243"/>
      <c r="PO42" s="243"/>
      <c r="PP42" s="243"/>
      <c r="PQ42" s="243"/>
      <c r="PR42" s="243"/>
      <c r="PS42" s="243"/>
      <c r="PT42" s="243"/>
      <c r="PU42" s="243"/>
      <c r="PV42" s="243"/>
      <c r="PW42" s="243"/>
      <c r="PX42" s="243"/>
      <c r="PY42" s="277">
        <f>PY40-PY37</f>
        <v>0</v>
      </c>
      <c r="PZ42" s="277">
        <f>PZ40-PZ37</f>
        <v>0</v>
      </c>
      <c r="QA42" s="243"/>
      <c r="QB42" s="243"/>
      <c r="QC42" s="243"/>
      <c r="QD42" s="243"/>
      <c r="QE42" s="243"/>
      <c r="QF42" s="243"/>
      <c r="QG42" s="243"/>
      <c r="QH42" s="243"/>
      <c r="QI42" s="243"/>
      <c r="QJ42" s="243"/>
      <c r="QK42" s="243"/>
      <c r="QL42" s="243"/>
      <c r="QM42" s="243"/>
      <c r="QN42" s="243"/>
      <c r="QO42" s="243"/>
      <c r="QP42" s="243"/>
      <c r="QQ42" s="243"/>
      <c r="QR42" s="243"/>
      <c r="QS42" s="224"/>
      <c r="QT42" s="224"/>
      <c r="QU42" s="224"/>
      <c r="QV42" s="224"/>
      <c r="QW42" s="224"/>
      <c r="QX42" s="224"/>
      <c r="QY42" s="224"/>
      <c r="QZ42" s="224"/>
      <c r="RA42" s="231"/>
      <c r="RB42" s="223"/>
      <c r="RC42" s="223"/>
      <c r="RD42" s="225"/>
      <c r="RE42" s="223"/>
      <c r="RF42" s="225"/>
      <c r="RG42" s="245"/>
      <c r="RH42" s="245"/>
      <c r="RI42" s="245"/>
      <c r="RJ42" s="245"/>
      <c r="RK42" s="245"/>
      <c r="RL42" s="245"/>
      <c r="RM42" s="224"/>
      <c r="RN42" s="244"/>
      <c r="RO42" s="224"/>
      <c r="RP42" s="224"/>
      <c r="RQ42" s="244"/>
      <c r="RR42" s="244"/>
      <c r="RS42" s="224"/>
      <c r="RT42" s="224"/>
      <c r="RU42" s="224"/>
      <c r="RV42" s="224"/>
      <c r="RW42" s="224"/>
      <c r="RX42" s="224"/>
      <c r="RY42" s="224"/>
      <c r="RZ42" s="224"/>
      <c r="SA42" s="277">
        <f>SA40-SA37</f>
        <v>0</v>
      </c>
      <c r="SB42" s="277">
        <f>SB40-SB37</f>
        <v>0</v>
      </c>
      <c r="SC42" s="224"/>
      <c r="SD42" s="224"/>
      <c r="SE42" s="224"/>
      <c r="SF42" s="224"/>
      <c r="SG42" s="224"/>
      <c r="SH42" s="224"/>
      <c r="SI42" s="224"/>
      <c r="SJ42" s="224"/>
      <c r="SK42" s="224"/>
      <c r="SL42" s="224"/>
      <c r="SM42" s="224"/>
      <c r="SN42" s="224"/>
      <c r="SO42" s="224"/>
      <c r="SP42" s="224"/>
      <c r="SQ42" s="277">
        <f>SQ40-SQ37</f>
        <v>0</v>
      </c>
      <c r="SR42" s="277">
        <f>SR40-SR37</f>
        <v>0</v>
      </c>
      <c r="SS42" s="224"/>
      <c r="ST42" s="224"/>
      <c r="SU42" s="224"/>
      <c r="SV42" s="224"/>
      <c r="SW42" s="277"/>
      <c r="SX42" s="277"/>
      <c r="SY42" s="224"/>
      <c r="SZ42" s="224"/>
      <c r="TA42" s="224"/>
      <c r="TB42" s="277">
        <f>TB40-TB38</f>
        <v>0</v>
      </c>
      <c r="TC42" s="224"/>
      <c r="TD42" s="224"/>
      <c r="TE42" s="224"/>
      <c r="TF42" s="224"/>
      <c r="TG42" s="224"/>
      <c r="TH42" s="224"/>
      <c r="TI42" s="224"/>
      <c r="TJ42" s="224"/>
      <c r="TK42" s="224"/>
      <c r="TL42" s="224"/>
      <c r="TM42" s="224"/>
      <c r="TN42" s="224"/>
      <c r="TO42" s="277">
        <f>TO40-TO38</f>
        <v>0</v>
      </c>
      <c r="TP42" s="277">
        <f>TP40-TP38</f>
        <v>0</v>
      </c>
      <c r="TQ42" s="224"/>
      <c r="TR42" s="224"/>
      <c r="TS42" s="224"/>
      <c r="TT42" s="224"/>
      <c r="TU42" s="224"/>
      <c r="TV42" s="224"/>
      <c r="TW42" s="224"/>
      <c r="TX42" s="224"/>
      <c r="TY42" s="224"/>
      <c r="TZ42" s="224"/>
      <c r="UA42" s="224"/>
      <c r="UB42" s="224"/>
      <c r="UC42" s="224"/>
      <c r="UD42" s="224"/>
      <c r="UE42" s="277">
        <f>UE40-UE37</f>
        <v>0</v>
      </c>
      <c r="UF42" s="277">
        <f>UF40-UF37</f>
        <v>0</v>
      </c>
      <c r="UG42" s="224"/>
      <c r="UH42" s="224"/>
      <c r="UI42" s="224"/>
      <c r="UJ42" s="224"/>
      <c r="UK42" s="224"/>
      <c r="UL42" s="277">
        <f>UL40-UL37</f>
        <v>0</v>
      </c>
      <c r="UM42" s="277">
        <f>UM40-UM37</f>
        <v>0</v>
      </c>
      <c r="UN42" s="277"/>
      <c r="UO42" s="259"/>
      <c r="UP42" s="259"/>
      <c r="UQ42" s="259"/>
      <c r="UR42" s="259"/>
      <c r="US42" s="259"/>
      <c r="UT42" s="259"/>
      <c r="UU42" s="259"/>
      <c r="UV42" s="259"/>
      <c r="UW42" s="259"/>
      <c r="UX42" s="259"/>
      <c r="UY42" s="259">
        <f>UY40-UY37</f>
        <v>0</v>
      </c>
      <c r="UZ42" s="259">
        <f>UZ40-UZ38</f>
        <v>0</v>
      </c>
      <c r="VA42" s="259">
        <f>VA40-VA37</f>
        <v>0</v>
      </c>
      <c r="VB42" s="259">
        <f>VB40-VB37</f>
        <v>0</v>
      </c>
      <c r="VC42" s="246"/>
      <c r="VD42" s="246"/>
      <c r="VE42" s="246"/>
      <c r="VF42" s="246"/>
      <c r="VG42" s="259"/>
      <c r="VH42" s="259">
        <f>VH40-VH37</f>
        <v>0</v>
      </c>
      <c r="VI42" s="246"/>
      <c r="VJ42" s="246"/>
      <c r="VK42" s="246"/>
      <c r="VL42" s="246"/>
      <c r="VM42" s="246"/>
      <c r="VN42" s="246"/>
      <c r="VO42" s="246"/>
      <c r="VP42" s="246"/>
      <c r="VQ42" s="246"/>
      <c r="VR42" s="246"/>
      <c r="VS42" s="246"/>
      <c r="VT42" s="246"/>
      <c r="VU42" s="231"/>
      <c r="VV42" s="231"/>
      <c r="VW42" s="223"/>
      <c r="VX42" s="223"/>
      <c r="VY42" s="295"/>
      <c r="VZ42" s="295"/>
      <c r="WA42" s="223"/>
      <c r="WB42" s="223"/>
      <c r="WC42" s="223"/>
      <c r="WD42" s="223"/>
      <c r="WE42" s="223"/>
      <c r="WF42" s="223"/>
      <c r="WG42" s="295"/>
      <c r="WH42" s="295"/>
      <c r="WI42" s="223"/>
      <c r="WJ42" s="223"/>
      <c r="WK42" s="223"/>
      <c r="WL42" s="223"/>
      <c r="WM42" s="223"/>
      <c r="WN42" s="223"/>
    </row>
    <row r="43" spans="1:612" ht="19.5" customHeight="1" x14ac:dyDescent="0.25">
      <c r="A43" s="221"/>
      <c r="B43" s="222"/>
      <c r="D43" s="231"/>
      <c r="F43" s="224"/>
      <c r="G43" s="224"/>
      <c r="H43" s="224"/>
      <c r="I43" s="224"/>
      <c r="J43" s="224"/>
      <c r="K43" s="224"/>
      <c r="L43" s="224"/>
      <c r="M43" s="224"/>
      <c r="N43" s="224"/>
      <c r="O43" s="224"/>
      <c r="P43" s="1550"/>
      <c r="Q43" s="1550"/>
      <c r="V43" s="240"/>
      <c r="AA43" s="240"/>
      <c r="AC43" s="240"/>
      <c r="AD43" s="240"/>
      <c r="AE43" s="240"/>
      <c r="AF43" s="240"/>
      <c r="AG43" s="240"/>
      <c r="AH43" s="240"/>
      <c r="AI43" s="225"/>
      <c r="AJ43" s="271"/>
      <c r="AK43" s="271"/>
      <c r="AL43" s="243"/>
      <c r="AM43" s="243"/>
      <c r="AN43" s="243"/>
      <c r="AO43" s="243"/>
      <c r="AP43" s="243"/>
      <c r="AQ43" s="271"/>
      <c r="AR43" s="243"/>
      <c r="AS43" s="272"/>
      <c r="AT43" s="272"/>
      <c r="AU43" s="272"/>
      <c r="AV43" s="272"/>
      <c r="AW43" s="271"/>
      <c r="AX43" s="242"/>
      <c r="AY43" s="242"/>
      <c r="AZ43" s="242"/>
      <c r="BA43" s="271"/>
      <c r="BB43" s="242"/>
      <c r="BC43" s="276"/>
      <c r="BD43" s="276"/>
      <c r="BE43" s="271"/>
      <c r="BF43" s="259"/>
      <c r="BG43" s="259"/>
      <c r="BH43" s="259"/>
      <c r="BI43" s="271"/>
      <c r="BJ43" s="259"/>
      <c r="BK43" s="259"/>
      <c r="BL43" s="259"/>
      <c r="BM43" s="271"/>
      <c r="BN43" s="259"/>
      <c r="BO43" s="259"/>
      <c r="BP43" s="259"/>
      <c r="BQ43" s="271"/>
      <c r="BR43" s="259"/>
      <c r="BS43" s="259"/>
      <c r="BT43" s="259"/>
      <c r="BU43" s="243"/>
      <c r="BV43" s="243"/>
      <c r="BW43" s="243"/>
      <c r="BX43" s="243"/>
      <c r="BY43" s="245"/>
      <c r="BZ43" s="243"/>
      <c r="CA43" s="243"/>
      <c r="CB43" s="243"/>
      <c r="CC43" s="243"/>
      <c r="CD43" s="245"/>
      <c r="CE43" s="243"/>
      <c r="CF43" s="243"/>
      <c r="CG43" s="243"/>
      <c r="CH43" s="243"/>
      <c r="CI43" s="245"/>
      <c r="CJ43" s="243"/>
      <c r="CK43" s="243"/>
      <c r="CL43" s="243"/>
      <c r="CM43" s="243"/>
      <c r="CN43" s="245"/>
      <c r="CO43" s="272"/>
      <c r="CP43" s="272"/>
      <c r="CQ43" s="272"/>
      <c r="CR43" s="272"/>
      <c r="CS43" s="224"/>
      <c r="CT43" s="271"/>
      <c r="CU43" s="224"/>
      <c r="CV43" s="224"/>
      <c r="CW43" s="224"/>
      <c r="CX43" s="224"/>
      <c r="CY43" s="224"/>
      <c r="CZ43" s="224"/>
      <c r="DA43" s="224"/>
      <c r="DB43" s="276"/>
      <c r="DC43" s="224"/>
      <c r="DD43" s="224"/>
      <c r="DE43" s="224"/>
      <c r="DF43" s="224"/>
      <c r="DG43" s="224"/>
      <c r="DH43" s="224"/>
      <c r="DI43" s="224"/>
      <c r="DJ43" s="224"/>
      <c r="DK43" s="224"/>
      <c r="DL43" s="224"/>
      <c r="DM43" s="224"/>
      <c r="DN43" s="224"/>
      <c r="DO43" s="224"/>
      <c r="DP43" s="224"/>
      <c r="DQ43" s="272"/>
      <c r="DR43" s="272"/>
      <c r="DS43" s="272"/>
      <c r="DT43" s="272"/>
      <c r="DU43" s="272"/>
      <c r="DV43" s="272"/>
      <c r="DW43" s="272"/>
      <c r="DX43" s="272"/>
      <c r="DY43" s="272"/>
      <c r="DZ43" s="272"/>
      <c r="EA43" s="272"/>
      <c r="EB43" s="272"/>
      <c r="EC43" s="272"/>
      <c r="ED43" s="272"/>
      <c r="EE43" s="272"/>
      <c r="EF43" s="272"/>
      <c r="EG43" s="272"/>
      <c r="EH43" s="272"/>
      <c r="EI43" s="272"/>
      <c r="EJ43" s="272"/>
      <c r="EK43" s="243"/>
      <c r="EL43" s="243"/>
      <c r="EM43" s="243"/>
      <c r="EN43" s="243"/>
      <c r="EO43" s="243"/>
      <c r="EP43" s="243"/>
      <c r="EQ43" s="243"/>
      <c r="ER43" s="243"/>
      <c r="ES43" s="243"/>
      <c r="ET43" s="243"/>
      <c r="EU43" s="243"/>
      <c r="EV43" s="243"/>
      <c r="EW43" s="243"/>
      <c r="EX43" s="243"/>
      <c r="EY43" s="243"/>
      <c r="EZ43" s="243"/>
      <c r="FA43" s="243"/>
      <c r="FB43" s="243"/>
      <c r="FC43" s="243"/>
      <c r="FD43" s="243"/>
      <c r="FE43" s="243"/>
      <c r="FF43" s="243"/>
      <c r="FG43" s="243"/>
      <c r="FH43" s="243"/>
      <c r="FI43" s="243"/>
      <c r="FJ43" s="243"/>
      <c r="FK43" s="272"/>
      <c r="FL43" s="272"/>
      <c r="FM43" s="272"/>
      <c r="FN43" s="272"/>
      <c r="FO43" s="272"/>
      <c r="FP43" s="272"/>
      <c r="FQ43" s="272"/>
      <c r="FR43" s="272"/>
      <c r="FS43" s="272"/>
      <c r="FT43" s="272"/>
      <c r="FU43" s="272"/>
      <c r="FV43" s="272"/>
      <c r="FW43" s="272"/>
      <c r="FX43" s="272"/>
      <c r="FY43" s="272"/>
      <c r="FZ43" s="272"/>
      <c r="GA43" s="272"/>
      <c r="GB43" s="272"/>
      <c r="GC43" s="272"/>
      <c r="GD43" s="272"/>
      <c r="GE43" s="272"/>
      <c r="GF43" s="272"/>
      <c r="GG43" s="272"/>
      <c r="GH43" s="272"/>
      <c r="GI43" s="272"/>
      <c r="GJ43" s="272"/>
      <c r="GK43" s="272"/>
      <c r="GL43" s="272"/>
      <c r="GM43" s="272"/>
      <c r="GN43" s="272"/>
      <c r="GO43" s="272"/>
      <c r="GP43" s="272"/>
      <c r="GQ43" s="272"/>
      <c r="GR43" s="272"/>
      <c r="GS43" s="272"/>
      <c r="GT43" s="272"/>
      <c r="GU43" s="272"/>
      <c r="GV43" s="272"/>
      <c r="GW43" s="272"/>
      <c r="GX43" s="272"/>
      <c r="GY43" s="272"/>
      <c r="GZ43" s="272"/>
      <c r="HA43" s="272"/>
      <c r="HB43" s="272"/>
      <c r="HC43" s="272"/>
      <c r="HD43" s="272"/>
      <c r="HE43" s="272"/>
      <c r="HF43" s="272"/>
      <c r="HG43" s="272"/>
      <c r="HH43" s="272"/>
      <c r="HI43" s="272"/>
      <c r="HJ43" s="272"/>
      <c r="HK43" s="272"/>
      <c r="HL43" s="272"/>
      <c r="HM43" s="272"/>
      <c r="HN43" s="272"/>
      <c r="HO43" s="272"/>
      <c r="HP43" s="272"/>
      <c r="HQ43" s="272"/>
      <c r="HR43" s="272"/>
      <c r="HS43" s="272"/>
      <c r="HT43" s="272"/>
      <c r="HU43" s="272"/>
      <c r="HV43" s="272"/>
      <c r="HW43" s="272"/>
      <c r="HX43" s="272"/>
      <c r="HY43" s="272"/>
      <c r="HZ43" s="272"/>
      <c r="IA43" s="272"/>
      <c r="IB43" s="272"/>
      <c r="IC43" s="272"/>
      <c r="ID43" s="272"/>
      <c r="IQ43" s="246"/>
      <c r="IR43" s="246"/>
      <c r="IS43" s="246"/>
      <c r="IT43" s="246"/>
      <c r="IU43" s="246"/>
      <c r="IV43" s="246"/>
      <c r="IW43" s="246"/>
      <c r="IX43" s="246"/>
      <c r="IY43" s="246"/>
      <c r="IZ43" s="246"/>
      <c r="JA43" s="246"/>
      <c r="JB43" s="246"/>
      <c r="JC43" s="246"/>
      <c r="JD43" s="246"/>
      <c r="JE43" s="246"/>
      <c r="JF43" s="246"/>
      <c r="JG43" s="246"/>
      <c r="JH43" s="246"/>
      <c r="JI43" s="246"/>
      <c r="JJ43" s="246"/>
      <c r="JK43" s="246"/>
      <c r="JL43" s="246"/>
      <c r="JM43" s="246"/>
      <c r="JN43" s="246"/>
      <c r="JO43" s="246"/>
      <c r="JP43" s="246"/>
      <c r="JQ43" s="246"/>
      <c r="JR43" s="246"/>
      <c r="JS43" s="246"/>
      <c r="JT43" s="246"/>
      <c r="JU43" s="245"/>
      <c r="JV43" s="1621"/>
      <c r="JW43" s="1620"/>
      <c r="JX43" s="1001"/>
      <c r="JY43" s="1001"/>
      <c r="JZ43" s="245"/>
      <c r="KA43" s="1621"/>
      <c r="KB43" s="1620"/>
      <c r="KC43" s="1001"/>
      <c r="KD43" s="1001"/>
      <c r="KE43" s="245"/>
      <c r="KF43" s="1621"/>
      <c r="KG43" s="1620"/>
      <c r="KH43" s="1001"/>
      <c r="KI43" s="1001"/>
      <c r="KJ43" s="245"/>
      <c r="KK43" s="1621"/>
      <c r="KL43" s="1620"/>
      <c r="KM43" s="1001"/>
      <c r="KN43" s="1001"/>
      <c r="KO43" s="245"/>
      <c r="KP43" s="245"/>
      <c r="KQ43" s="245"/>
      <c r="KR43" s="1091"/>
      <c r="KS43" s="245"/>
      <c r="KW43" s="245"/>
      <c r="KX43" s="1094"/>
      <c r="KY43" s="245"/>
      <c r="KZ43" s="1094"/>
      <c r="MG43" s="243"/>
      <c r="MH43" s="243"/>
      <c r="MI43" s="243"/>
      <c r="MJ43" s="243"/>
      <c r="MK43" s="243"/>
      <c r="ML43" s="243"/>
      <c r="MM43" s="243"/>
      <c r="MN43" s="243"/>
      <c r="MO43" s="243"/>
      <c r="MP43" s="243"/>
      <c r="MQ43" s="243"/>
      <c r="MR43" s="243"/>
      <c r="MS43" s="243"/>
      <c r="MT43" s="243"/>
      <c r="MU43" s="243"/>
      <c r="MV43" s="243"/>
      <c r="MW43" s="243"/>
      <c r="MX43" s="243"/>
      <c r="MY43" s="243"/>
      <c r="MZ43" s="243"/>
      <c r="NA43" s="243"/>
      <c r="NB43" s="243"/>
      <c r="NC43" s="243"/>
      <c r="ND43" s="243"/>
      <c r="NE43" s="243"/>
      <c r="NF43" s="243"/>
      <c r="NG43" s="243"/>
      <c r="NH43" s="243"/>
      <c r="NI43" s="243"/>
      <c r="NJ43" s="243"/>
      <c r="NK43" s="272"/>
      <c r="NL43" s="272"/>
      <c r="NM43" s="272"/>
      <c r="NN43" s="272"/>
      <c r="NO43" s="272"/>
      <c r="NP43" s="272"/>
      <c r="NQ43" s="243"/>
      <c r="NR43" s="243"/>
      <c r="NS43" s="243"/>
      <c r="NT43" s="243"/>
      <c r="NU43" s="243"/>
      <c r="NV43" s="243"/>
      <c r="NW43" s="243"/>
      <c r="NX43" s="243"/>
      <c r="NY43" s="243"/>
      <c r="NZ43" s="243"/>
      <c r="OA43" s="243"/>
      <c r="OB43" s="243"/>
      <c r="OC43" s="243"/>
      <c r="OD43" s="243"/>
      <c r="OE43" s="243"/>
      <c r="OF43" s="243"/>
      <c r="OG43" s="243"/>
      <c r="OH43" s="243"/>
      <c r="OI43" s="243"/>
      <c r="OJ43" s="243"/>
      <c r="OK43" s="243"/>
      <c r="OL43" s="243"/>
      <c r="OM43" s="243"/>
      <c r="ON43" s="243"/>
      <c r="OO43" s="243"/>
      <c r="OP43" s="243"/>
      <c r="OQ43" s="243"/>
      <c r="OR43" s="243"/>
      <c r="OS43" s="243"/>
      <c r="OT43" s="243"/>
      <c r="OU43" s="243"/>
      <c r="OV43" s="243"/>
      <c r="OW43" s="243"/>
      <c r="OX43" s="243"/>
      <c r="OY43" s="243"/>
      <c r="OZ43" s="243"/>
      <c r="PA43" s="243"/>
      <c r="PB43" s="243"/>
      <c r="PC43" s="243"/>
      <c r="PD43" s="243"/>
      <c r="PE43" s="243"/>
      <c r="PF43" s="243"/>
      <c r="PG43" s="243"/>
      <c r="PH43" s="243"/>
      <c r="PI43" s="243"/>
      <c r="PJ43" s="243"/>
      <c r="PK43" s="243"/>
      <c r="PL43" s="243"/>
      <c r="PM43" s="243"/>
      <c r="PN43" s="243"/>
      <c r="PO43" s="243"/>
      <c r="PP43" s="243"/>
      <c r="PQ43" s="243"/>
      <c r="PR43" s="243"/>
      <c r="PS43" s="243"/>
      <c r="PT43" s="243"/>
      <c r="PU43" s="243"/>
      <c r="PV43" s="243"/>
      <c r="PW43" s="243"/>
      <c r="PX43" s="243"/>
      <c r="PY43" s="243"/>
      <c r="PZ43" s="243"/>
      <c r="QA43" s="243"/>
      <c r="QB43" s="243"/>
      <c r="QC43" s="243"/>
      <c r="QD43" s="243"/>
      <c r="QE43" s="243"/>
      <c r="QF43" s="243"/>
      <c r="QG43" s="243"/>
      <c r="QH43" s="243"/>
      <c r="QI43" s="243"/>
      <c r="QJ43" s="243"/>
      <c r="QK43" s="243"/>
      <c r="QL43" s="243"/>
      <c r="QM43" s="243"/>
      <c r="QN43" s="243"/>
      <c r="QO43" s="243"/>
      <c r="QP43" s="243"/>
      <c r="QQ43" s="243"/>
      <c r="QR43" s="243"/>
      <c r="QS43" s="224"/>
      <c r="QT43" s="224"/>
      <c r="QU43" s="224"/>
      <c r="QV43" s="224"/>
      <c r="QW43" s="224"/>
      <c r="QX43" s="224"/>
      <c r="QY43" s="224"/>
      <c r="QZ43" s="224"/>
      <c r="RA43" s="231"/>
      <c r="RD43" s="225"/>
      <c r="RF43" s="225"/>
      <c r="RG43" s="245"/>
      <c r="RH43" s="245"/>
      <c r="RI43" s="245"/>
      <c r="RJ43" s="245"/>
      <c r="RK43" s="245"/>
      <c r="RL43" s="245"/>
      <c r="RM43" s="224"/>
      <c r="RN43" s="244"/>
      <c r="RO43" s="224"/>
      <c r="RP43" s="224"/>
      <c r="RQ43" s="244"/>
      <c r="RR43" s="244"/>
      <c r="RS43" s="224"/>
      <c r="RT43" s="224"/>
      <c r="RU43" s="224"/>
      <c r="RV43" s="224"/>
      <c r="RW43" s="224"/>
      <c r="RX43" s="224"/>
      <c r="RY43" s="224"/>
      <c r="RZ43" s="224"/>
      <c r="SA43" s="224"/>
      <c r="SB43" s="224"/>
      <c r="SC43" s="224"/>
      <c r="SD43" s="224"/>
      <c r="SE43" s="224"/>
      <c r="SF43" s="224"/>
      <c r="SG43" s="224"/>
      <c r="SH43" s="224"/>
      <c r="SI43" s="224"/>
      <c r="SJ43" s="224"/>
      <c r="SK43" s="224"/>
      <c r="SL43" s="224"/>
      <c r="SM43" s="224"/>
      <c r="SN43" s="224"/>
      <c r="SO43" s="224"/>
      <c r="SP43" s="224"/>
      <c r="SQ43" s="224"/>
      <c r="SR43" s="224"/>
      <c r="SS43" s="224"/>
      <c r="ST43" s="224"/>
      <c r="SU43" s="224"/>
      <c r="SV43" s="224"/>
      <c r="SW43" s="224"/>
      <c r="SX43" s="224"/>
      <c r="SY43" s="246"/>
      <c r="SZ43" s="246"/>
      <c r="TA43" s="246"/>
      <c r="TB43" s="246"/>
      <c r="TC43" s="246"/>
      <c r="TD43" s="246"/>
      <c r="TE43" s="246"/>
      <c r="TF43" s="246"/>
      <c r="TG43" s="246"/>
      <c r="TH43" s="246"/>
      <c r="TI43" s="246"/>
      <c r="TJ43" s="246"/>
      <c r="TK43" s="246"/>
      <c r="TL43" s="246"/>
      <c r="TM43" s="246"/>
      <c r="TN43" s="246"/>
      <c r="TO43" s="246"/>
      <c r="TP43" s="246"/>
      <c r="TQ43" s="246"/>
      <c r="TR43" s="246"/>
      <c r="TS43" s="246"/>
      <c r="TT43" s="246"/>
      <c r="TU43" s="246"/>
      <c r="TV43" s="246"/>
      <c r="TW43" s="246"/>
      <c r="TX43" s="246"/>
      <c r="TY43" s="246"/>
      <c r="TZ43" s="246"/>
      <c r="UA43" s="246"/>
      <c r="UB43" s="246"/>
      <c r="UC43" s="246"/>
      <c r="UD43" s="246"/>
      <c r="UE43" s="246"/>
      <c r="UF43" s="246"/>
      <c r="UG43" s="246"/>
      <c r="UH43" s="246"/>
      <c r="UI43" s="246"/>
      <c r="UJ43" s="246"/>
      <c r="UK43" s="246"/>
      <c r="UL43" s="246"/>
      <c r="UM43" s="246"/>
      <c r="UN43" s="246"/>
      <c r="UO43" s="246"/>
      <c r="UP43" s="246"/>
      <c r="UQ43" s="246"/>
      <c r="UR43" s="246"/>
      <c r="US43" s="246"/>
      <c r="UT43" s="246"/>
      <c r="UU43" s="246"/>
      <c r="UV43" s="246"/>
      <c r="UW43" s="246"/>
      <c r="UX43" s="246"/>
      <c r="UY43" s="246"/>
      <c r="UZ43" s="246"/>
      <c r="VA43" s="246"/>
      <c r="VB43" s="246"/>
      <c r="VC43" s="246"/>
      <c r="VD43" s="246"/>
      <c r="VE43" s="246"/>
      <c r="VF43" s="246"/>
      <c r="VG43" s="246"/>
      <c r="VH43" s="246"/>
      <c r="VI43" s="246"/>
      <c r="VJ43" s="246"/>
      <c r="VK43" s="246"/>
      <c r="VL43" s="246"/>
      <c r="VM43" s="246"/>
      <c r="VN43" s="246"/>
      <c r="VO43" s="246"/>
      <c r="VP43" s="246"/>
      <c r="VQ43" s="246"/>
      <c r="VR43" s="246"/>
      <c r="VS43" s="246"/>
      <c r="VT43" s="246"/>
      <c r="VU43" s="231"/>
      <c r="VV43" s="231"/>
      <c r="VW43" s="364"/>
      <c r="VX43" s="364"/>
      <c r="WE43" s="364"/>
      <c r="WF43" s="364"/>
    </row>
    <row r="44" spans="1:612" s="221" customFormat="1" ht="18.75" customHeight="1" x14ac:dyDescent="0.25">
      <c r="A44" s="929" t="s">
        <v>126</v>
      </c>
      <c r="B44" s="930">
        <f>D44+AI44+'Проверочная  таблица'!RA44+'Проверочная  таблица'!SK44</f>
        <v>11265105090.25</v>
      </c>
      <c r="C44" s="930">
        <f>E44+'Проверочная  таблица'!RD44+AJ44+'Проверочная  таблица'!SL44</f>
        <v>7779137855.2099991</v>
      </c>
      <c r="D44" s="932">
        <f>D34</f>
        <v>1504303718</v>
      </c>
      <c r="E44" s="932">
        <f>E34</f>
        <v>853053298.71000004</v>
      </c>
      <c r="H44" s="485"/>
      <c r="P44" s="1550"/>
      <c r="Q44" s="1550"/>
      <c r="AH44" s="1156" t="s">
        <v>126</v>
      </c>
      <c r="AI44" s="932">
        <f>AI34</f>
        <v>2699004984.4200001</v>
      </c>
      <c r="AJ44" s="932">
        <f>AJ34</f>
        <v>1612871543.1499996</v>
      </c>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39"/>
      <c r="BR44" s="239"/>
      <c r="BS44" s="239"/>
      <c r="BT44" s="239"/>
      <c r="BU44" s="239"/>
      <c r="BV44" s="239"/>
      <c r="BW44" s="239"/>
      <c r="BX44" s="239"/>
      <c r="BY44" s="245"/>
      <c r="BZ44" s="239"/>
      <c r="CA44" s="239"/>
      <c r="CB44" s="239"/>
      <c r="CC44" s="239"/>
      <c r="CD44" s="245"/>
      <c r="CE44" s="239"/>
      <c r="CF44" s="239"/>
      <c r="CG44" s="239"/>
      <c r="CH44" s="239"/>
      <c r="CI44" s="245"/>
      <c r="CJ44" s="239"/>
      <c r="CK44" s="239"/>
      <c r="CL44" s="239"/>
      <c r="CM44" s="239"/>
      <c r="CN44" s="245"/>
      <c r="CO44" s="239"/>
      <c r="CP44" s="239"/>
      <c r="CQ44" s="239"/>
      <c r="CR44" s="239"/>
      <c r="DI44" s="1125"/>
      <c r="DJ44" s="1412"/>
      <c r="DK44" s="1125"/>
      <c r="DL44" s="1125"/>
      <c r="DM44" s="1125"/>
      <c r="DN44" s="1412"/>
      <c r="DO44" s="1125"/>
      <c r="DP44" s="1125"/>
      <c r="EK44" s="239"/>
      <c r="EL44" s="239"/>
      <c r="EM44" s="239"/>
      <c r="EN44" s="239"/>
      <c r="EO44" s="239"/>
      <c r="EP44" s="239"/>
      <c r="EQ44" s="239"/>
      <c r="ER44" s="239"/>
      <c r="ES44" s="239"/>
      <c r="ET44" s="239"/>
      <c r="EU44" s="239"/>
      <c r="EV44" s="239"/>
      <c r="EW44" s="239"/>
      <c r="EX44" s="239"/>
      <c r="EY44" s="239"/>
      <c r="EZ44" s="239"/>
      <c r="FA44" s="239"/>
      <c r="FB44" s="239"/>
      <c r="FC44" s="239"/>
      <c r="FD44" s="239"/>
      <c r="FE44" s="239"/>
      <c r="FF44" s="239"/>
      <c r="FG44" s="239"/>
      <c r="FH44" s="239"/>
      <c r="FI44" s="239"/>
      <c r="FJ44" s="239"/>
      <c r="FQ44" s="1027"/>
      <c r="FR44" s="1027"/>
      <c r="FS44" s="1027"/>
      <c r="FT44" s="1027"/>
      <c r="FU44" s="1027"/>
      <c r="FV44" s="1027"/>
      <c r="FW44" s="1154"/>
      <c r="FX44" s="1154"/>
      <c r="FY44" s="1154"/>
      <c r="FZ44" s="1154"/>
      <c r="GA44" s="1154"/>
      <c r="GB44" s="1154"/>
      <c r="GC44" s="1154"/>
      <c r="GD44" s="1154"/>
      <c r="GE44" s="1154"/>
      <c r="GF44" s="1154"/>
      <c r="GG44" s="1247"/>
      <c r="GH44" s="1247"/>
      <c r="GI44" s="1247"/>
      <c r="GJ44" s="1247"/>
      <c r="GK44" s="1247"/>
      <c r="GL44" s="1247"/>
      <c r="GM44" s="1112"/>
      <c r="GN44" s="1112"/>
      <c r="GO44" s="1112"/>
      <c r="GP44" s="1112"/>
      <c r="GQ44" s="1112"/>
      <c r="GR44" s="1112"/>
      <c r="GS44" s="1112"/>
      <c r="GT44" s="1112"/>
      <c r="GU44" s="1112"/>
      <c r="GV44" s="1112"/>
      <c r="GW44" s="1112"/>
      <c r="GX44" s="1112"/>
      <c r="GY44" s="1112"/>
      <c r="GZ44" s="1112"/>
      <c r="HA44" s="1112"/>
      <c r="HB44" s="1112"/>
      <c r="HC44" s="1112"/>
      <c r="HD44" s="1112"/>
      <c r="HE44" s="1112"/>
      <c r="HF44" s="1112"/>
      <c r="HG44" s="1112"/>
      <c r="HH44" s="1112"/>
      <c r="HI44" s="1112"/>
      <c r="HJ44" s="1112"/>
      <c r="HQ44" s="239"/>
      <c r="HR44" s="239"/>
      <c r="HS44" s="239"/>
      <c r="HT44" s="239"/>
      <c r="HU44" s="239"/>
      <c r="HV44" s="239"/>
      <c r="HW44" s="239"/>
      <c r="HX44" s="239"/>
      <c r="HY44" s="239"/>
      <c r="HZ44" s="239"/>
      <c r="IA44" s="239"/>
      <c r="IB44" s="239"/>
      <c r="IC44" s="239"/>
      <c r="ID44" s="239"/>
      <c r="IQ44" s="246"/>
      <c r="IR44" s="246"/>
      <c r="IS44" s="246"/>
      <c r="IT44" s="246"/>
      <c r="IU44" s="246"/>
      <c r="IV44" s="246"/>
      <c r="IW44" s="246"/>
      <c r="IX44" s="246"/>
      <c r="IY44" s="246"/>
      <c r="IZ44" s="246"/>
      <c r="JA44" s="246"/>
      <c r="JB44" s="246"/>
      <c r="JC44" s="246"/>
      <c r="JD44" s="246"/>
      <c r="JE44" s="246"/>
      <c r="JF44" s="246"/>
      <c r="JG44" s="246"/>
      <c r="JH44" s="246"/>
      <c r="JI44" s="246"/>
      <c r="JJ44" s="246"/>
      <c r="JK44" s="246"/>
      <c r="JL44" s="246"/>
      <c r="JM44" s="246"/>
      <c r="JN44" s="246"/>
      <c r="JO44" s="246"/>
      <c r="JP44" s="246"/>
      <c r="JQ44" s="246"/>
      <c r="JR44" s="246"/>
      <c r="JS44" s="246"/>
      <c r="JT44" s="246"/>
      <c r="JU44" s="245"/>
      <c r="JV44" s="1621"/>
      <c r="JW44" s="1620"/>
      <c r="JX44" s="1001"/>
      <c r="JY44" s="1001"/>
      <c r="JZ44" s="245"/>
      <c r="KA44" s="1621"/>
      <c r="KB44" s="1620"/>
      <c r="KC44" s="1001"/>
      <c r="KD44" s="1001"/>
      <c r="KE44" s="245"/>
      <c r="KF44" s="1621"/>
      <c r="KG44" s="1620"/>
      <c r="KH44" s="1001"/>
      <c r="KI44" s="1001"/>
      <c r="KJ44" s="245"/>
      <c r="KK44" s="1621"/>
      <c r="KL44" s="1620"/>
      <c r="KM44" s="1001"/>
      <c r="KN44" s="1001"/>
      <c r="KO44" s="245"/>
      <c r="KP44" s="245"/>
      <c r="KQ44" s="245"/>
      <c r="KR44" s="1091"/>
      <c r="KS44" s="245"/>
      <c r="KT44" s="245"/>
      <c r="KU44" s="395"/>
      <c r="KV44" s="395"/>
      <c r="KW44" s="245"/>
      <c r="KX44" s="1094"/>
      <c r="KY44" s="245"/>
      <c r="KZ44" s="1094"/>
      <c r="LD44" s="1098"/>
      <c r="LH44" s="1098"/>
      <c r="LL44" s="1098"/>
      <c r="LP44" s="1412"/>
      <c r="LT44" s="1098"/>
      <c r="LX44" s="1098"/>
      <c r="MB44" s="1098"/>
      <c r="MF44" s="1098"/>
      <c r="MG44" s="239"/>
      <c r="MH44" s="239"/>
      <c r="MI44" s="239"/>
      <c r="MJ44" s="239"/>
      <c r="MK44" s="239"/>
      <c r="ML44" s="239"/>
      <c r="MM44" s="239"/>
      <c r="MN44" s="239"/>
      <c r="MO44" s="239"/>
      <c r="MP44" s="239"/>
      <c r="MQ44" s="239"/>
      <c r="MR44" s="239"/>
      <c r="MS44" s="239"/>
      <c r="MT44" s="239"/>
      <c r="MU44" s="239"/>
      <c r="MV44" s="239"/>
      <c r="MW44" s="239"/>
      <c r="MX44" s="239"/>
      <c r="MY44" s="239"/>
      <c r="MZ44" s="239"/>
      <c r="NA44" s="239"/>
      <c r="NB44" s="239"/>
      <c r="NC44" s="239"/>
      <c r="ND44" s="239"/>
      <c r="NE44" s="239"/>
      <c r="NF44" s="239"/>
      <c r="NG44" s="239"/>
      <c r="NH44" s="239"/>
      <c r="NI44" s="239"/>
      <c r="NJ44" s="239"/>
      <c r="NK44" s="1036"/>
      <c r="NL44" s="1036"/>
      <c r="NM44" s="1036"/>
      <c r="NN44" s="1036"/>
      <c r="NO44" s="1036"/>
      <c r="NP44" s="1036"/>
      <c r="NQ44" s="239"/>
      <c r="NR44" s="239"/>
      <c r="NS44" s="239"/>
      <c r="NT44" s="239"/>
      <c r="NU44" s="239"/>
      <c r="NV44" s="239"/>
      <c r="NW44" s="239"/>
      <c r="NX44" s="239"/>
      <c r="NY44" s="239"/>
      <c r="NZ44" s="239"/>
      <c r="OA44" s="239"/>
      <c r="OB44" s="239"/>
      <c r="OC44" s="239"/>
      <c r="OD44" s="239"/>
      <c r="OE44" s="239"/>
      <c r="OF44" s="239"/>
      <c r="OG44" s="239"/>
      <c r="OH44" s="239"/>
      <c r="OI44" s="239"/>
      <c r="OJ44" s="239"/>
      <c r="OK44" s="239"/>
      <c r="OL44" s="239"/>
      <c r="OM44" s="239"/>
      <c r="ON44" s="239"/>
      <c r="OO44" s="239"/>
      <c r="OP44" s="239"/>
      <c r="OQ44" s="239"/>
      <c r="OR44" s="239"/>
      <c r="OS44" s="239"/>
      <c r="OT44" s="239"/>
      <c r="OU44" s="239"/>
      <c r="OV44" s="239"/>
      <c r="OW44" s="239"/>
      <c r="OX44" s="239"/>
      <c r="OY44" s="239"/>
      <c r="OZ44" s="239"/>
      <c r="PA44" s="239"/>
      <c r="PB44" s="239"/>
      <c r="PC44" s="239"/>
      <c r="PD44" s="239"/>
      <c r="PE44" s="239"/>
      <c r="PF44" s="239"/>
      <c r="PG44" s="239"/>
      <c r="PH44" s="239"/>
      <c r="PI44" s="239"/>
      <c r="PJ44" s="239"/>
      <c r="PK44" s="239"/>
      <c r="PL44" s="239"/>
      <c r="PM44" s="239"/>
      <c r="PN44" s="239"/>
      <c r="PO44" s="239"/>
      <c r="PP44" s="239"/>
      <c r="PQ44" s="239"/>
      <c r="PR44" s="239"/>
      <c r="PS44" s="239"/>
      <c r="PT44" s="239"/>
      <c r="PU44" s="239"/>
      <c r="PV44" s="239"/>
      <c r="PW44" s="239"/>
      <c r="PX44" s="239"/>
      <c r="PY44" s="239"/>
      <c r="PZ44" s="239"/>
      <c r="QA44" s="239"/>
      <c r="QB44" s="239"/>
      <c r="QC44" s="239"/>
      <c r="QD44" s="239"/>
      <c r="QE44" s="239"/>
      <c r="QF44" s="239"/>
      <c r="QG44" s="239"/>
      <c r="QH44" s="239"/>
      <c r="QI44" s="239"/>
      <c r="QJ44" s="239"/>
      <c r="QK44" s="239"/>
      <c r="QL44" s="239"/>
      <c r="QM44" s="239"/>
      <c r="QN44" s="239"/>
      <c r="QO44" s="239"/>
      <c r="QP44" s="239"/>
      <c r="QQ44" s="239"/>
      <c r="QR44" s="239"/>
      <c r="QZ44" s="224"/>
      <c r="RA44" s="932">
        <f>RA34</f>
        <v>6069406456.4899988</v>
      </c>
      <c r="RB44" s="1115"/>
      <c r="RC44" s="1115"/>
      <c r="RD44" s="932">
        <f>RD34</f>
        <v>4420172679.6499996</v>
      </c>
      <c r="RW44" s="1257"/>
      <c r="RX44" s="1257"/>
      <c r="RY44" s="1257"/>
      <c r="RZ44" s="1257"/>
      <c r="SA44" s="1257"/>
      <c r="SB44" s="1257"/>
      <c r="SC44" s="1266"/>
      <c r="SD44" s="1266"/>
      <c r="SK44" s="932">
        <f>SK34</f>
        <v>992389931.34000003</v>
      </c>
      <c r="SL44" s="932">
        <f>SL34</f>
        <v>893040333.69999993</v>
      </c>
      <c r="SM44" s="259"/>
      <c r="SN44" s="259"/>
      <c r="SO44" s="259"/>
      <c r="SP44" s="259"/>
      <c r="SQ44" s="259"/>
      <c r="SR44" s="259"/>
      <c r="SS44" s="259"/>
      <c r="ST44" s="259"/>
      <c r="SU44" s="259"/>
      <c r="SV44" s="259"/>
      <c r="SW44" s="259"/>
      <c r="SX44" s="259"/>
      <c r="SY44" s="259"/>
      <c r="SZ44" s="259"/>
      <c r="TA44" s="259"/>
      <c r="TB44" s="259"/>
      <c r="TC44" s="259"/>
      <c r="TD44" s="259"/>
      <c r="TE44" s="259"/>
      <c r="TF44" s="259"/>
      <c r="TG44" s="259"/>
      <c r="TH44" s="259"/>
      <c r="TI44" s="259"/>
      <c r="TJ44" s="259"/>
      <c r="TK44" s="259"/>
      <c r="TL44" s="259"/>
      <c r="TM44" s="259"/>
      <c r="TN44" s="259"/>
      <c r="TO44" s="259"/>
      <c r="TP44" s="259"/>
      <c r="TQ44" s="259"/>
      <c r="TR44" s="259"/>
      <c r="TS44" s="259"/>
      <c r="TT44" s="259"/>
      <c r="TU44" s="259"/>
      <c r="TV44" s="259"/>
      <c r="TW44" s="259"/>
      <c r="TX44" s="259"/>
      <c r="TY44" s="259"/>
      <c r="TZ44" s="259"/>
      <c r="UA44" s="259"/>
      <c r="UB44" s="259"/>
      <c r="UC44" s="259"/>
      <c r="UD44" s="259"/>
      <c r="UE44" s="259"/>
      <c r="UF44" s="259"/>
      <c r="UG44" s="259"/>
      <c r="UH44" s="259"/>
      <c r="UI44" s="259"/>
      <c r="UJ44" s="259"/>
      <c r="UK44" s="259"/>
      <c r="UL44" s="259"/>
      <c r="UM44" s="259"/>
      <c r="UN44" s="259"/>
      <c r="UO44" s="246"/>
      <c r="UP44" s="246"/>
      <c r="UQ44" s="246"/>
      <c r="UR44" s="246"/>
      <c r="US44" s="246"/>
      <c r="UT44" s="246"/>
      <c r="UU44" s="246"/>
      <c r="UV44" s="246"/>
      <c r="UW44" s="246"/>
      <c r="UX44" s="246"/>
      <c r="UY44" s="246"/>
      <c r="UZ44" s="246"/>
      <c r="VA44" s="246"/>
      <c r="VB44" s="246"/>
      <c r="VC44" s="246"/>
      <c r="VD44" s="246"/>
      <c r="VE44" s="246"/>
      <c r="VF44" s="246"/>
      <c r="VG44" s="246"/>
      <c r="VH44" s="246"/>
      <c r="VI44" s="246"/>
      <c r="VJ44" s="246"/>
      <c r="VK44" s="246"/>
      <c r="VL44" s="246"/>
      <c r="VM44" s="246"/>
      <c r="VN44" s="246"/>
      <c r="VO44" s="246"/>
      <c r="VP44" s="246"/>
      <c r="VQ44" s="246"/>
      <c r="VR44" s="246"/>
      <c r="VS44" s="246"/>
      <c r="VT44" s="246"/>
      <c r="VU44" s="231"/>
      <c r="VV44" s="231"/>
      <c r="VW44" s="364"/>
      <c r="VX44" s="364"/>
      <c r="VY44" s="223"/>
      <c r="VZ44" s="223"/>
      <c r="WA44" s="223"/>
      <c r="WB44" s="223"/>
      <c r="WC44" s="223"/>
      <c r="WD44" s="223"/>
      <c r="WE44" s="223"/>
      <c r="WF44" s="223"/>
      <c r="WG44" s="223"/>
      <c r="WH44" s="223"/>
      <c r="WI44" s="223"/>
      <c r="WJ44" s="223"/>
      <c r="WK44" s="223"/>
      <c r="WL44" s="223"/>
      <c r="WM44" s="223"/>
      <c r="WN44" s="223"/>
    </row>
    <row r="45" spans="1:612" ht="19.5" customHeight="1" x14ac:dyDescent="0.25">
      <c r="A45" s="929" t="s">
        <v>125</v>
      </c>
      <c r="B45" s="930">
        <f>D45+AI45+'Проверочная  таблица'!RA45+'Проверочная  таблица'!SK45</f>
        <v>10597019594.84</v>
      </c>
      <c r="C45" s="930">
        <f>E45+'Проверочная  таблица'!RD45+AJ45+'Проверочная  таблица'!SL45</f>
        <v>7468746414.4500008</v>
      </c>
      <c r="D45" s="931">
        <f>D30-D46</f>
        <v>1314504451</v>
      </c>
      <c r="E45" s="931">
        <f>E30-E46</f>
        <v>1047310014.9400001</v>
      </c>
      <c r="V45" s="221"/>
      <c r="AA45" s="221"/>
      <c r="AC45" s="221"/>
      <c r="AD45" s="221"/>
      <c r="AE45" s="221"/>
      <c r="AF45" s="221"/>
      <c r="AG45" s="221"/>
      <c r="AH45" s="1156" t="s">
        <v>125</v>
      </c>
      <c r="AI45" s="931">
        <f>AI30-AI46</f>
        <v>2581102048.4499998</v>
      </c>
      <c r="AJ45" s="931">
        <f>AJ30-AJ46</f>
        <v>1347079353.4499998</v>
      </c>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5"/>
      <c r="BR45" s="225"/>
      <c r="BS45" s="225"/>
      <c r="BT45" s="225"/>
      <c r="BU45" s="225"/>
      <c r="BV45" s="225"/>
      <c r="BW45" s="225"/>
      <c r="BX45" s="225"/>
      <c r="BY45" s="245"/>
      <c r="BZ45" s="225"/>
      <c r="CA45" s="225"/>
      <c r="CB45" s="225"/>
      <c r="CC45" s="225"/>
      <c r="CD45" s="245"/>
      <c r="CE45" s="225"/>
      <c r="CF45" s="225"/>
      <c r="CG45" s="225"/>
      <c r="CH45" s="225"/>
      <c r="CI45" s="245"/>
      <c r="CJ45" s="225"/>
      <c r="CK45" s="225"/>
      <c r="CL45" s="225"/>
      <c r="CM45" s="225"/>
      <c r="CN45" s="245"/>
      <c r="CO45" s="225"/>
      <c r="CP45" s="225"/>
      <c r="CQ45" s="225"/>
      <c r="CR45" s="225"/>
      <c r="EK45" s="225"/>
      <c r="EL45" s="225"/>
      <c r="EM45" s="225"/>
      <c r="EN45" s="225"/>
      <c r="EO45" s="225"/>
      <c r="EP45" s="225"/>
      <c r="EQ45" s="225"/>
      <c r="ER45" s="225"/>
      <c r="ES45" s="225"/>
      <c r="ET45" s="225"/>
      <c r="EU45" s="225"/>
      <c r="EV45" s="225"/>
      <c r="EW45" s="225"/>
      <c r="EX45" s="225"/>
      <c r="EY45" s="225"/>
      <c r="EZ45" s="225"/>
      <c r="FA45" s="225"/>
      <c r="FB45" s="225"/>
      <c r="FC45" s="225"/>
      <c r="FD45" s="225"/>
      <c r="FE45" s="225"/>
      <c r="FF45" s="225"/>
      <c r="FG45" s="225"/>
      <c r="FH45" s="225"/>
      <c r="FI45" s="225"/>
      <c r="FJ45" s="225"/>
      <c r="HQ45" s="225"/>
      <c r="HR45" s="225"/>
      <c r="HS45" s="225"/>
      <c r="HT45" s="225"/>
      <c r="HU45" s="225"/>
      <c r="HV45" s="225"/>
      <c r="HW45" s="225"/>
      <c r="HX45" s="225"/>
      <c r="HY45" s="225"/>
      <c r="HZ45" s="225"/>
      <c r="IA45" s="225"/>
      <c r="IB45" s="225"/>
      <c r="IC45" s="225"/>
      <c r="ID45" s="225"/>
      <c r="IQ45" s="246"/>
      <c r="IR45" s="246"/>
      <c r="IS45" s="246"/>
      <c r="IT45" s="246"/>
      <c r="IU45" s="246"/>
      <c r="IV45" s="246"/>
      <c r="IW45" s="246"/>
      <c r="IX45" s="246"/>
      <c r="IY45" s="246"/>
      <c r="IZ45" s="246"/>
      <c r="JA45" s="246"/>
      <c r="JB45" s="246"/>
      <c r="JC45" s="246"/>
      <c r="JD45" s="246"/>
      <c r="JE45" s="246"/>
      <c r="JF45" s="246"/>
      <c r="JG45" s="246"/>
      <c r="JH45" s="246"/>
      <c r="JI45" s="246"/>
      <c r="JJ45" s="246"/>
      <c r="JK45" s="246"/>
      <c r="JL45" s="246"/>
      <c r="JM45" s="246"/>
      <c r="JN45" s="246"/>
      <c r="JO45" s="246"/>
      <c r="JP45" s="246"/>
      <c r="JQ45" s="246"/>
      <c r="JR45" s="246"/>
      <c r="JS45" s="246"/>
      <c r="JT45" s="246"/>
      <c r="JU45" s="245"/>
      <c r="JV45" s="1621"/>
      <c r="JW45" s="1620"/>
      <c r="JX45" s="1001"/>
      <c r="JY45" s="1001"/>
      <c r="JZ45" s="245"/>
      <c r="KA45" s="1621"/>
      <c r="KB45" s="1620"/>
      <c r="KC45" s="1001"/>
      <c r="KD45" s="1001"/>
      <c r="KE45" s="245"/>
      <c r="KF45" s="1621"/>
      <c r="KG45" s="1620"/>
      <c r="KH45" s="1001"/>
      <c r="KI45" s="1001"/>
      <c r="KJ45" s="245"/>
      <c r="KK45" s="1621"/>
      <c r="KL45" s="1620"/>
      <c r="KM45" s="1001"/>
      <c r="KN45" s="1001"/>
      <c r="KO45" s="245"/>
      <c r="KP45" s="245"/>
      <c r="KQ45" s="245"/>
      <c r="KR45" s="1091"/>
      <c r="KS45" s="245"/>
      <c r="KT45" s="245"/>
      <c r="KU45" s="395"/>
      <c r="KV45" s="395"/>
      <c r="KW45" s="245"/>
      <c r="KX45" s="1094"/>
      <c r="KY45" s="245"/>
      <c r="KZ45" s="1094"/>
      <c r="MG45" s="225"/>
      <c r="MH45" s="225"/>
      <c r="MI45" s="225"/>
      <c r="MJ45" s="225"/>
      <c r="MK45" s="225"/>
      <c r="ML45" s="225"/>
      <c r="MM45" s="225"/>
      <c r="MN45" s="225"/>
      <c r="MO45" s="225"/>
      <c r="MP45" s="225"/>
      <c r="MQ45" s="225"/>
      <c r="MR45" s="225"/>
      <c r="MS45" s="225"/>
      <c r="MT45" s="225"/>
      <c r="MU45" s="225"/>
      <c r="MV45" s="225"/>
      <c r="MW45" s="225"/>
      <c r="MX45" s="225"/>
      <c r="MY45" s="225"/>
      <c r="MZ45" s="225"/>
      <c r="NA45" s="225"/>
      <c r="NB45" s="225"/>
      <c r="NC45" s="225"/>
      <c r="ND45" s="225"/>
      <c r="NE45" s="225"/>
      <c r="NF45" s="225"/>
      <c r="NG45" s="225"/>
      <c r="NH45" s="225"/>
      <c r="NI45" s="225"/>
      <c r="NJ45" s="225"/>
      <c r="NQ45" s="225"/>
      <c r="NR45" s="225"/>
      <c r="NS45" s="225"/>
      <c r="NT45" s="225"/>
      <c r="NU45" s="225"/>
      <c r="NV45" s="225"/>
      <c r="NW45" s="225"/>
      <c r="NX45" s="225"/>
      <c r="NY45" s="225"/>
      <c r="NZ45" s="225"/>
      <c r="OA45" s="225"/>
      <c r="OB45" s="225"/>
      <c r="OC45" s="225"/>
      <c r="OD45" s="225"/>
      <c r="OE45" s="225"/>
      <c r="OF45" s="225"/>
      <c r="OG45" s="225"/>
      <c r="OH45" s="225"/>
      <c r="OI45" s="225"/>
      <c r="OJ45" s="225"/>
      <c r="OK45" s="225"/>
      <c r="OL45" s="225"/>
      <c r="OM45" s="225"/>
      <c r="ON45" s="225"/>
      <c r="OO45" s="225"/>
      <c r="OP45" s="225"/>
      <c r="OQ45" s="225"/>
      <c r="OR45" s="225"/>
      <c r="OS45" s="225"/>
      <c r="OT45" s="225"/>
      <c r="OU45" s="225"/>
      <c r="OV45" s="225"/>
      <c r="OW45" s="225"/>
      <c r="OX45" s="225"/>
      <c r="OY45" s="225"/>
      <c r="OZ45" s="225"/>
      <c r="PA45" s="225"/>
      <c r="PB45" s="225"/>
      <c r="PC45" s="225"/>
      <c r="PD45" s="225"/>
      <c r="PE45" s="225"/>
      <c r="PF45" s="225"/>
      <c r="PG45" s="225"/>
      <c r="PH45" s="225"/>
      <c r="PI45" s="225"/>
      <c r="PJ45" s="225"/>
      <c r="PK45" s="225"/>
      <c r="PL45" s="225"/>
      <c r="PM45" s="225"/>
      <c r="PN45" s="225"/>
      <c r="PO45" s="225"/>
      <c r="PP45" s="225"/>
      <c r="PQ45" s="225"/>
      <c r="PR45" s="225"/>
      <c r="PS45" s="225"/>
      <c r="PT45" s="225"/>
      <c r="PU45" s="225"/>
      <c r="PV45" s="225"/>
      <c r="PW45" s="225"/>
      <c r="PX45" s="225"/>
      <c r="PY45" s="225"/>
      <c r="PZ45" s="225"/>
      <c r="QA45" s="225"/>
      <c r="QB45" s="225"/>
      <c r="QC45" s="225"/>
      <c r="QD45" s="225"/>
      <c r="QE45" s="225"/>
      <c r="QF45" s="225"/>
      <c r="QG45" s="225"/>
      <c r="QH45" s="225"/>
      <c r="QI45" s="225"/>
      <c r="QJ45" s="225"/>
      <c r="QK45" s="225"/>
      <c r="QL45" s="225"/>
      <c r="QM45" s="225"/>
      <c r="QN45" s="225"/>
      <c r="QO45" s="225"/>
      <c r="QP45" s="225"/>
      <c r="QQ45" s="225"/>
      <c r="QR45" s="225"/>
      <c r="QW45" s="221"/>
      <c r="QX45" s="221"/>
      <c r="QY45" s="221"/>
      <c r="QZ45" s="224"/>
      <c r="RA45" s="931">
        <f>RA30-RA46</f>
        <v>6172522026.7299995</v>
      </c>
      <c r="RB45" s="1128"/>
      <c r="RC45" s="1128"/>
      <c r="RD45" s="931">
        <f>RD30-RD46</f>
        <v>4720014110.5100002</v>
      </c>
      <c r="RQ45" s="247"/>
      <c r="RR45" s="247"/>
      <c r="RS45" s="247"/>
      <c r="RT45" s="247"/>
      <c r="RU45" s="247"/>
      <c r="RV45" s="247"/>
      <c r="RW45" s="247"/>
      <c r="RX45" s="247"/>
      <c r="RY45" s="247"/>
      <c r="RZ45" s="247"/>
      <c r="SA45" s="247"/>
      <c r="SB45" s="247"/>
      <c r="SC45" s="247"/>
      <c r="SD45" s="247"/>
      <c r="SK45" s="1129">
        <f>SK30-SK46</f>
        <v>528891068.65999991</v>
      </c>
      <c r="SL45" s="1129">
        <f>SL30-SL46</f>
        <v>354342935.55000013</v>
      </c>
      <c r="SM45" s="1417"/>
      <c r="SN45" s="1417"/>
      <c r="SO45" s="1417"/>
      <c r="SP45" s="1417"/>
      <c r="SQ45" s="1417"/>
      <c r="SR45" s="1417"/>
      <c r="SS45" s="1417"/>
      <c r="ST45" s="1417"/>
      <c r="SU45" s="1417"/>
      <c r="SV45" s="1417"/>
      <c r="SW45" s="1417"/>
      <c r="SX45" s="1417"/>
      <c r="SY45" s="246"/>
      <c r="SZ45" s="246"/>
      <c r="TA45" s="246"/>
      <c r="TB45" s="246"/>
      <c r="TC45" s="246"/>
      <c r="TD45" s="246"/>
      <c r="TE45" s="246"/>
      <c r="TF45" s="246"/>
      <c r="TG45" s="246"/>
      <c r="TH45" s="246"/>
      <c r="TI45" s="246"/>
      <c r="TJ45" s="246"/>
      <c r="TK45" s="246"/>
      <c r="TL45" s="246"/>
      <c r="TM45" s="246"/>
      <c r="TN45" s="246"/>
      <c r="TO45" s="246"/>
      <c r="TP45" s="246"/>
      <c r="TQ45" s="246"/>
      <c r="TR45" s="246"/>
      <c r="TS45" s="246"/>
      <c r="TT45" s="246"/>
      <c r="TU45" s="246"/>
      <c r="TV45" s="246"/>
      <c r="TW45" s="246"/>
      <c r="TX45" s="246"/>
      <c r="TY45" s="246"/>
      <c r="TZ45" s="246"/>
      <c r="UA45" s="246"/>
      <c r="UB45" s="246"/>
      <c r="UC45" s="246"/>
      <c r="UD45" s="246"/>
      <c r="UE45" s="246"/>
      <c r="UF45" s="246"/>
      <c r="UG45" s="246"/>
      <c r="UH45" s="246"/>
      <c r="UI45" s="246"/>
      <c r="UJ45" s="246"/>
      <c r="UK45" s="246"/>
      <c r="UL45" s="246"/>
      <c r="UM45" s="246"/>
      <c r="UN45" s="246"/>
      <c r="UO45" s="246"/>
      <c r="UP45" s="246"/>
      <c r="UQ45" s="246"/>
      <c r="UR45" s="246"/>
      <c r="US45" s="246"/>
      <c r="UT45" s="246"/>
      <c r="UU45" s="246"/>
      <c r="UV45" s="246"/>
      <c r="UW45" s="246"/>
      <c r="UX45" s="246"/>
      <c r="UY45" s="246"/>
      <c r="UZ45" s="246"/>
      <c r="VA45" s="246"/>
      <c r="VB45" s="246"/>
      <c r="VC45" s="246"/>
      <c r="VD45" s="246"/>
      <c r="VE45" s="246"/>
      <c r="VF45" s="246"/>
      <c r="VG45" s="246"/>
      <c r="VH45" s="246"/>
      <c r="VI45" s="246"/>
      <c r="VJ45" s="246"/>
      <c r="VK45" s="246"/>
      <c r="VL45" s="246"/>
      <c r="VM45" s="246"/>
      <c r="VN45" s="246"/>
      <c r="VO45" s="246"/>
      <c r="VP45" s="246"/>
      <c r="VQ45" s="246"/>
      <c r="VR45" s="246"/>
      <c r="VS45" s="246"/>
      <c r="VT45" s="246"/>
      <c r="VU45" s="231"/>
      <c r="VV45" s="231"/>
      <c r="VW45" s="364"/>
      <c r="VX45" s="364"/>
      <c r="WE45" s="364"/>
      <c r="WF45" s="364"/>
    </row>
    <row r="46" spans="1:612" ht="18.75" customHeight="1" x14ac:dyDescent="0.25">
      <c r="A46" s="929" t="s">
        <v>99</v>
      </c>
      <c r="B46" s="930">
        <f>D46+AI46+'Проверочная  таблица'!RA46+'Проверочная  таблица'!SK46</f>
        <v>2642377823.8900003</v>
      </c>
      <c r="C46" s="930">
        <f>E46+'Проверочная  таблица'!RD46+AJ46+'Проверочная  таблица'!SL46</f>
        <v>1886462032.6300001</v>
      </c>
      <c r="D46" s="931">
        <f>P30+AA30+H37</f>
        <v>1462213288</v>
      </c>
      <c r="E46" s="931">
        <f>Q30+AB30+I37</f>
        <v>1165694217.9200001</v>
      </c>
      <c r="V46" s="221"/>
      <c r="AA46" s="221"/>
      <c r="AC46" s="221"/>
      <c r="AD46" s="221"/>
      <c r="AE46" s="221"/>
      <c r="AF46" s="221"/>
      <c r="AG46" s="221"/>
      <c r="AH46" s="1156" t="s">
        <v>99</v>
      </c>
      <c r="AI46" s="931">
        <f>'Проверочная  таблица'!QU37+CU37+DC37+CE37+'Проверочная  таблица'!LI37+'Проверочная  таблица'!HW37+'Проверочная  таблица'!JK37+AW37+GS37+FW37+MG37+OE37+QA37</f>
        <v>754394923.36000001</v>
      </c>
      <c r="AJ46" s="931">
        <f>'Проверочная  таблица'!QV37+CV37+DD37+CJ37+'Проверочная  таблица'!LM37+'Проверочная  таблица'!HZ37+'Проверочная  таблица'!JP37+BA37+GV37+FZ37+ML37+OL37+QD37</f>
        <v>429598089.67000008</v>
      </c>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5"/>
      <c r="BR46" s="225"/>
      <c r="BS46" s="225"/>
      <c r="BT46" s="225"/>
      <c r="BU46" s="225"/>
      <c r="BV46" s="225"/>
      <c r="BW46" s="225"/>
      <c r="BX46" s="225"/>
      <c r="BY46" s="245"/>
      <c r="BZ46" s="225"/>
      <c r="CA46" s="225"/>
      <c r="CB46" s="225"/>
      <c r="CC46" s="225"/>
      <c r="CD46" s="245"/>
      <c r="CE46" s="225"/>
      <c r="CF46" s="225"/>
      <c r="CG46" s="225"/>
      <c r="CH46" s="225"/>
      <c r="CI46" s="245"/>
      <c r="CJ46" s="225"/>
      <c r="CK46" s="225"/>
      <c r="CL46" s="225"/>
      <c r="CM46" s="225"/>
      <c r="CN46" s="245"/>
      <c r="CO46" s="225"/>
      <c r="CP46" s="225"/>
      <c r="CQ46" s="225"/>
      <c r="CR46" s="225"/>
      <c r="EK46" s="225"/>
      <c r="EL46" s="225"/>
      <c r="EM46" s="225"/>
      <c r="EN46" s="225"/>
      <c r="EO46" s="225"/>
      <c r="EP46" s="225"/>
      <c r="EQ46" s="225"/>
      <c r="ER46" s="225"/>
      <c r="ES46" s="225"/>
      <c r="ET46" s="225"/>
      <c r="EU46" s="225"/>
      <c r="EV46" s="225"/>
      <c r="EW46" s="225"/>
      <c r="EX46" s="225"/>
      <c r="EY46" s="225"/>
      <c r="EZ46" s="225"/>
      <c r="FA46" s="225"/>
      <c r="FB46" s="225"/>
      <c r="FC46" s="225"/>
      <c r="FD46" s="225"/>
      <c r="FE46" s="225"/>
      <c r="FF46" s="225"/>
      <c r="FG46" s="225"/>
      <c r="FH46" s="225"/>
      <c r="FI46" s="225"/>
      <c r="FJ46" s="225"/>
      <c r="HQ46" s="225"/>
      <c r="HR46" s="225"/>
      <c r="HS46" s="225"/>
      <c r="HT46" s="225"/>
      <c r="HU46" s="225"/>
      <c r="HV46" s="225"/>
      <c r="HW46" s="225"/>
      <c r="HX46" s="225"/>
      <c r="HY46" s="225"/>
      <c r="HZ46" s="225"/>
      <c r="IA46" s="225"/>
      <c r="IB46" s="225"/>
      <c r="IC46" s="225"/>
      <c r="ID46" s="225"/>
      <c r="IQ46" s="221"/>
      <c r="IR46" s="1412"/>
      <c r="IS46" s="1412"/>
      <c r="IT46" s="221"/>
      <c r="IU46" s="221"/>
      <c r="IV46" s="1412"/>
      <c r="IW46" s="1412"/>
      <c r="IX46" s="1258"/>
      <c r="IY46" s="1258"/>
      <c r="IZ46" s="1265"/>
      <c r="JA46" s="221"/>
      <c r="JB46" s="1412"/>
      <c r="JC46" s="1412"/>
      <c r="JD46" s="221"/>
      <c r="JE46" s="221"/>
      <c r="JF46" s="1412"/>
      <c r="JG46" s="1412"/>
      <c r="JH46" s="1258"/>
      <c r="JI46" s="1258"/>
      <c r="JJ46" s="1265"/>
      <c r="JK46" s="221"/>
      <c r="JL46" s="1412"/>
      <c r="JM46" s="1412"/>
      <c r="JN46" s="221"/>
      <c r="JO46" s="221"/>
      <c r="JP46" s="221"/>
      <c r="JQ46" s="1412"/>
      <c r="JR46" s="1412"/>
      <c r="JS46" s="221"/>
      <c r="JT46" s="221"/>
      <c r="JU46" s="245"/>
      <c r="JV46" s="1621"/>
      <c r="JW46" s="1620"/>
      <c r="JX46" s="1001"/>
      <c r="JY46" s="1001"/>
      <c r="JZ46" s="245"/>
      <c r="KA46" s="1621"/>
      <c r="KB46" s="1620"/>
      <c r="KC46" s="1001"/>
      <c r="KD46" s="1001"/>
      <c r="KE46" s="245"/>
      <c r="KF46" s="1621"/>
      <c r="KG46" s="1620"/>
      <c r="KH46" s="1001"/>
      <c r="KI46" s="1001"/>
      <c r="KJ46" s="245"/>
      <c r="KK46" s="1621"/>
      <c r="KL46" s="1620"/>
      <c r="KM46" s="1001"/>
      <c r="KN46" s="1001"/>
      <c r="KO46" s="245"/>
      <c r="KP46" s="245"/>
      <c r="KQ46" s="245"/>
      <c r="KR46" s="1091"/>
      <c r="KS46" s="245"/>
      <c r="KT46" s="245"/>
      <c r="KU46" s="395"/>
      <c r="KV46" s="395"/>
      <c r="KW46" s="245"/>
      <c r="KX46" s="1094"/>
      <c r="KY46" s="245"/>
      <c r="KZ46" s="1094"/>
      <c r="MG46" s="225"/>
      <c r="MH46" s="225"/>
      <c r="MI46" s="225"/>
      <c r="MJ46" s="225"/>
      <c r="MK46" s="225"/>
      <c r="ML46" s="225"/>
      <c r="MM46" s="225"/>
      <c r="MN46" s="225"/>
      <c r="MO46" s="225"/>
      <c r="MP46" s="225"/>
      <c r="MQ46" s="225"/>
      <c r="MR46" s="225"/>
      <c r="MS46" s="225"/>
      <c r="MT46" s="225"/>
      <c r="MU46" s="225"/>
      <c r="MV46" s="225"/>
      <c r="MW46" s="225"/>
      <c r="MX46" s="225"/>
      <c r="MY46" s="225"/>
      <c r="MZ46" s="225"/>
      <c r="NA46" s="225"/>
      <c r="NB46" s="225"/>
      <c r="NC46" s="225"/>
      <c r="ND46" s="225"/>
      <c r="NE46" s="225"/>
      <c r="NF46" s="225"/>
      <c r="NG46" s="225"/>
      <c r="NH46" s="225"/>
      <c r="NI46" s="225"/>
      <c r="NJ46" s="225"/>
      <c r="NQ46" s="225"/>
      <c r="NR46" s="225"/>
      <c r="NS46" s="225"/>
      <c r="NT46" s="225"/>
      <c r="NU46" s="225"/>
      <c r="NV46" s="225"/>
      <c r="NW46" s="225"/>
      <c r="NX46" s="225"/>
      <c r="NY46" s="225"/>
      <c r="NZ46" s="225"/>
      <c r="OA46" s="225"/>
      <c r="OB46" s="225"/>
      <c r="OC46" s="225"/>
      <c r="OD46" s="225"/>
      <c r="OE46" s="225"/>
      <c r="OF46" s="225"/>
      <c r="OG46" s="225"/>
      <c r="OH46" s="225"/>
      <c r="OI46" s="225"/>
      <c r="OJ46" s="225"/>
      <c r="OK46" s="225"/>
      <c r="OL46" s="225"/>
      <c r="OM46" s="225"/>
      <c r="ON46" s="225"/>
      <c r="OO46" s="225"/>
      <c r="OP46" s="225"/>
      <c r="OQ46" s="225"/>
      <c r="OR46" s="225"/>
      <c r="OS46" s="225"/>
      <c r="OT46" s="225"/>
      <c r="OU46" s="225"/>
      <c r="OV46" s="225"/>
      <c r="OW46" s="225"/>
      <c r="OX46" s="225"/>
      <c r="OY46" s="225"/>
      <c r="OZ46" s="225"/>
      <c r="PA46" s="225"/>
      <c r="PB46" s="225"/>
      <c r="PC46" s="225"/>
      <c r="PD46" s="225"/>
      <c r="PE46" s="225"/>
      <c r="PF46" s="225"/>
      <c r="PG46" s="225"/>
      <c r="PH46" s="225"/>
      <c r="PI46" s="225"/>
      <c r="PJ46" s="225"/>
      <c r="PK46" s="225"/>
      <c r="PL46" s="225"/>
      <c r="PM46" s="225"/>
      <c r="PN46" s="225"/>
      <c r="PO46" s="225"/>
      <c r="PP46" s="225"/>
      <c r="PQ46" s="225"/>
      <c r="PR46" s="225"/>
      <c r="PS46" s="225"/>
      <c r="PT46" s="225"/>
      <c r="PU46" s="225"/>
      <c r="PV46" s="225"/>
      <c r="PW46" s="225"/>
      <c r="PX46" s="225"/>
      <c r="PY46" s="225"/>
      <c r="PZ46" s="225"/>
      <c r="QA46" s="225"/>
      <c r="QB46" s="225"/>
      <c r="QC46" s="225"/>
      <c r="QD46" s="225"/>
      <c r="QE46" s="225"/>
      <c r="QF46" s="225"/>
      <c r="QG46" s="225"/>
      <c r="QH46" s="225"/>
      <c r="QI46" s="225"/>
      <c r="QJ46" s="225"/>
      <c r="QK46" s="225"/>
      <c r="QL46" s="225"/>
      <c r="QM46" s="225"/>
      <c r="QN46" s="225"/>
      <c r="QO46" s="225"/>
      <c r="QP46" s="225"/>
      <c r="QQ46" s="225"/>
      <c r="QR46" s="225"/>
      <c r="QW46" s="221"/>
      <c r="QX46" s="221"/>
      <c r="QY46" s="221"/>
      <c r="QZ46" s="224"/>
      <c r="RA46" s="931">
        <f>'Проверочная  таблица'!RM30</f>
        <v>32076000</v>
      </c>
      <c r="RB46" s="1128"/>
      <c r="RC46" s="1128"/>
      <c r="RD46" s="931">
        <f>'Проверочная  таблица'!RN30</f>
        <v>20852690.699999999</v>
      </c>
      <c r="SK46" s="932">
        <f>TC37+VC37+TQ37</f>
        <v>393693612.53000003</v>
      </c>
      <c r="SL46" s="932">
        <f>TE37+VF37+TT37</f>
        <v>270317034.33999997</v>
      </c>
      <c r="SM46" s="259"/>
      <c r="SN46" s="259"/>
      <c r="SO46" s="259"/>
      <c r="SP46" s="259"/>
      <c r="SQ46" s="259"/>
      <c r="SR46" s="259"/>
      <c r="SS46" s="259"/>
      <c r="ST46" s="259"/>
      <c r="SU46" s="259"/>
      <c r="SV46" s="259"/>
      <c r="SW46" s="259"/>
      <c r="SX46" s="259"/>
      <c r="SY46" s="239"/>
      <c r="SZ46" s="239"/>
      <c r="TA46" s="239"/>
      <c r="TB46" s="239"/>
      <c r="TC46" s="239"/>
      <c r="TD46" s="239"/>
      <c r="TE46" s="239"/>
      <c r="TF46" s="239"/>
      <c r="TG46" s="239"/>
      <c r="TH46" s="239"/>
      <c r="TI46" s="239"/>
      <c r="TJ46" s="239"/>
      <c r="TK46" s="239"/>
      <c r="TL46" s="239"/>
      <c r="TM46" s="239"/>
      <c r="TN46" s="239"/>
      <c r="TO46" s="239"/>
      <c r="TP46" s="239"/>
      <c r="TQ46" s="239"/>
      <c r="TR46" s="239"/>
      <c r="TS46" s="239"/>
      <c r="TT46" s="239"/>
      <c r="TU46" s="239"/>
      <c r="TV46" s="239"/>
      <c r="TW46" s="239"/>
      <c r="TX46" s="239"/>
      <c r="TY46" s="239"/>
      <c r="TZ46" s="239"/>
      <c r="UA46" s="239"/>
      <c r="UB46" s="239"/>
      <c r="UC46" s="239"/>
      <c r="UD46" s="239"/>
      <c r="UE46" s="239"/>
      <c r="UF46" s="239"/>
      <c r="UG46" s="239"/>
      <c r="UH46" s="239"/>
      <c r="UI46" s="239"/>
      <c r="UJ46" s="239"/>
      <c r="UK46" s="239"/>
      <c r="UL46" s="239"/>
      <c r="UM46" s="239"/>
      <c r="UN46" s="239"/>
      <c r="UO46" s="221"/>
      <c r="UP46" s="1412"/>
      <c r="UQ46" s="1412"/>
      <c r="UR46" s="1412"/>
      <c r="US46" s="221"/>
      <c r="UT46" s="1412"/>
      <c r="UU46" s="1412"/>
      <c r="UV46" s="221"/>
      <c r="UW46" s="1412"/>
      <c r="UX46" s="1412"/>
      <c r="UY46" s="1412"/>
      <c r="UZ46" s="221"/>
      <c r="VA46" s="1412"/>
      <c r="VB46" s="1412"/>
      <c r="VC46" s="221"/>
      <c r="VD46" s="221"/>
      <c r="VE46" s="1412"/>
      <c r="VF46" s="221"/>
      <c r="VG46" s="221"/>
      <c r="VH46" s="1412"/>
      <c r="VI46" s="221"/>
      <c r="VJ46" s="221"/>
      <c r="VK46" s="1412"/>
      <c r="VL46" s="221"/>
      <c r="VM46" s="221"/>
      <c r="VN46" s="1412"/>
      <c r="VO46" s="221"/>
      <c r="VP46" s="221"/>
      <c r="VQ46" s="1412"/>
      <c r="VR46" s="221"/>
      <c r="VS46" s="221"/>
      <c r="VT46" s="1412"/>
      <c r="VU46" s="221"/>
      <c r="VV46" s="221"/>
      <c r="VW46" s="221"/>
      <c r="VX46" s="221"/>
      <c r="VY46" s="221"/>
      <c r="VZ46" s="221"/>
      <c r="WA46" s="221"/>
      <c r="WB46" s="221"/>
      <c r="WC46" s="221"/>
      <c r="WD46" s="221"/>
      <c r="WE46" s="221"/>
      <c r="WF46" s="221"/>
      <c r="WG46" s="221"/>
      <c r="WH46" s="221"/>
      <c r="WI46" s="221"/>
      <c r="WJ46" s="221"/>
      <c r="WK46" s="221"/>
      <c r="WL46" s="221"/>
      <c r="WM46" s="221"/>
      <c r="WN46" s="221"/>
    </row>
    <row r="47" spans="1:612" ht="18.75" customHeight="1" x14ac:dyDescent="0.2">
      <c r="A47" s="929" t="s">
        <v>40</v>
      </c>
      <c r="B47" s="930">
        <f>D47+AI47+'Проверочная  таблица'!RA47+'Проверочная  таблица'!SK47</f>
        <v>1034980476.8799999</v>
      </c>
      <c r="C47" s="930">
        <f>E47+'Проверочная  таблица'!RD47+AJ47+'Проверочная  таблица'!SL47</f>
        <v>754987248.46000004</v>
      </c>
      <c r="D47" s="931">
        <f>L37+T37+AG37</f>
        <v>273781172</v>
      </c>
      <c r="E47" s="931">
        <f>M37+U37+AH37</f>
        <v>230859319.10000002</v>
      </c>
      <c r="V47" s="221"/>
      <c r="AA47" s="221"/>
      <c r="AC47" s="221"/>
      <c r="AD47" s="221"/>
      <c r="AE47" s="221"/>
      <c r="AF47" s="221"/>
      <c r="AG47" s="221"/>
      <c r="AH47" s="1156" t="s">
        <v>40</v>
      </c>
      <c r="AI47" s="931">
        <f>CY37+DG37+CQ37+'Проверочная  таблица'!QY37+'Проверочная  таблица'!LY37+'Проверочная  таблица'!IK37+'Проверочная  таблица'!KE37+BM37+HE37+GE37+NA37+PG37+QM37</f>
        <v>480888716.08999997</v>
      </c>
      <c r="AJ47" s="931">
        <f>CZ37+DH37+CR37+'Проверочная  таблица'!QZ37+'Проверочная  таблица'!MC37+'Проверочная  таблица'!IN37+'Проверочная  таблица'!KJ37+BQ37+HH37+'Проверочная  таблица'!GF37+NF37+PN37+QP37</f>
        <v>350782484.39999998</v>
      </c>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5"/>
      <c r="BR47" s="225"/>
      <c r="BS47" s="225"/>
      <c r="BT47" s="225"/>
      <c r="BU47" s="225"/>
      <c r="BV47" s="225"/>
      <c r="BW47" s="225"/>
      <c r="BX47" s="225"/>
      <c r="BZ47" s="225"/>
      <c r="CA47" s="225"/>
      <c r="CB47" s="225"/>
      <c r="CC47" s="225"/>
      <c r="CE47" s="225"/>
      <c r="CF47" s="225"/>
      <c r="CG47" s="225"/>
      <c r="CH47" s="225"/>
      <c r="CJ47" s="225"/>
      <c r="CK47" s="225"/>
      <c r="CL47" s="225"/>
      <c r="CM47" s="225"/>
      <c r="CO47" s="225"/>
      <c r="CP47" s="225"/>
      <c r="CQ47" s="225"/>
      <c r="CR47" s="225"/>
      <c r="EK47" s="225"/>
      <c r="EL47" s="225"/>
      <c r="EM47" s="225"/>
      <c r="EN47" s="225"/>
      <c r="EO47" s="225"/>
      <c r="EP47" s="225"/>
      <c r="EQ47" s="225"/>
      <c r="ER47" s="225"/>
      <c r="ES47" s="225"/>
      <c r="ET47" s="225"/>
      <c r="EU47" s="225"/>
      <c r="EV47" s="225"/>
      <c r="EW47" s="225"/>
      <c r="EX47" s="225"/>
      <c r="EY47" s="225"/>
      <c r="EZ47" s="225"/>
      <c r="FA47" s="225"/>
      <c r="FB47" s="225"/>
      <c r="FC47" s="225"/>
      <c r="FD47" s="225"/>
      <c r="FE47" s="225"/>
      <c r="FF47" s="225"/>
      <c r="FG47" s="225"/>
      <c r="FH47" s="225"/>
      <c r="FI47" s="225"/>
      <c r="FJ47" s="225"/>
      <c r="HQ47" s="225"/>
      <c r="HR47" s="225"/>
      <c r="HS47" s="225"/>
      <c r="HT47" s="225"/>
      <c r="HU47" s="225"/>
      <c r="HV47" s="225"/>
      <c r="HW47" s="225"/>
      <c r="HX47" s="225"/>
      <c r="HY47" s="225"/>
      <c r="HZ47" s="225"/>
      <c r="IA47" s="225"/>
      <c r="IB47" s="225"/>
      <c r="IC47" s="225"/>
      <c r="ID47" s="225"/>
      <c r="IQ47" s="221"/>
      <c r="IR47" s="1412"/>
      <c r="IS47" s="1412"/>
      <c r="IT47" s="221"/>
      <c r="IU47" s="221"/>
      <c r="IV47" s="1412"/>
      <c r="IW47" s="1412"/>
      <c r="IX47" s="1258"/>
      <c r="IY47" s="1258"/>
      <c r="IZ47" s="1265"/>
      <c r="JA47" s="221"/>
      <c r="JB47" s="1412"/>
      <c r="JC47" s="1412"/>
      <c r="JD47" s="221"/>
      <c r="JE47" s="221"/>
      <c r="JF47" s="1412"/>
      <c r="JG47" s="1412"/>
      <c r="JH47" s="1258"/>
      <c r="JI47" s="1258"/>
      <c r="JJ47" s="1265"/>
      <c r="JK47" s="221"/>
      <c r="JL47" s="1412"/>
      <c r="JM47" s="1412"/>
      <c r="JN47" s="221"/>
      <c r="JO47" s="221"/>
      <c r="JP47" s="221"/>
      <c r="JQ47" s="1412"/>
      <c r="JR47" s="1412"/>
      <c r="JS47" s="221"/>
      <c r="JT47" s="221"/>
      <c r="JU47" s="259"/>
      <c r="JV47" s="259"/>
      <c r="JW47" s="259"/>
      <c r="JX47" s="259"/>
      <c r="JY47" s="259"/>
      <c r="JZ47" s="259"/>
      <c r="KA47" s="259"/>
      <c r="KB47" s="259"/>
      <c r="KC47" s="259"/>
      <c r="KD47" s="259"/>
      <c r="KE47" s="259"/>
      <c r="KF47" s="259"/>
      <c r="KG47" s="259"/>
      <c r="KH47" s="259"/>
      <c r="KI47" s="259"/>
      <c r="KJ47" s="259"/>
      <c r="KK47" s="259"/>
      <c r="KL47" s="259"/>
      <c r="KM47" s="259"/>
      <c r="KN47" s="259"/>
      <c r="KO47" s="272"/>
      <c r="KP47" s="272"/>
      <c r="KQ47" s="272"/>
      <c r="KR47" s="272"/>
      <c r="KS47" s="272"/>
      <c r="KW47" s="223"/>
      <c r="KX47" s="242"/>
      <c r="KY47" s="242"/>
      <c r="MG47" s="225"/>
      <c r="MH47" s="225"/>
      <c r="MI47" s="225"/>
      <c r="MJ47" s="225"/>
      <c r="MK47" s="225"/>
      <c r="ML47" s="225"/>
      <c r="MM47" s="225"/>
      <c r="MN47" s="225"/>
      <c r="MO47" s="225"/>
      <c r="MP47" s="225"/>
      <c r="MQ47" s="225"/>
      <c r="MR47" s="225"/>
      <c r="MS47" s="225"/>
      <c r="MT47" s="225"/>
      <c r="MU47" s="225"/>
      <c r="MV47" s="225"/>
      <c r="MW47" s="225"/>
      <c r="MX47" s="225"/>
      <c r="MY47" s="225"/>
      <c r="MZ47" s="225"/>
      <c r="NA47" s="225"/>
      <c r="NB47" s="225"/>
      <c r="NC47" s="225"/>
      <c r="ND47" s="225"/>
      <c r="NE47" s="225"/>
      <c r="NF47" s="225"/>
      <c r="NG47" s="225"/>
      <c r="NH47" s="225"/>
      <c r="NI47" s="225"/>
      <c r="NJ47" s="225"/>
      <c r="NQ47" s="225"/>
      <c r="NR47" s="225"/>
      <c r="NS47" s="225"/>
      <c r="NT47" s="225"/>
      <c r="NU47" s="225"/>
      <c r="NV47" s="225"/>
      <c r="NW47" s="225"/>
      <c r="NX47" s="225"/>
      <c r="NY47" s="225"/>
      <c r="NZ47" s="225"/>
      <c r="OA47" s="225"/>
      <c r="OB47" s="225"/>
      <c r="OC47" s="225"/>
      <c r="OD47" s="225"/>
      <c r="OE47" s="225"/>
      <c r="OF47" s="225"/>
      <c r="OG47" s="225"/>
      <c r="OH47" s="225"/>
      <c r="OI47" s="225"/>
      <c r="OJ47" s="225"/>
      <c r="OK47" s="225"/>
      <c r="OL47" s="225"/>
      <c r="OM47" s="225"/>
      <c r="ON47" s="225"/>
      <c r="OO47" s="225"/>
      <c r="OP47" s="225"/>
      <c r="OQ47" s="225"/>
      <c r="OR47" s="225"/>
      <c r="OS47" s="225"/>
      <c r="OT47" s="225"/>
      <c r="OU47" s="225"/>
      <c r="OV47" s="225"/>
      <c r="OW47" s="225"/>
      <c r="OX47" s="225"/>
      <c r="OY47" s="225"/>
      <c r="OZ47" s="225"/>
      <c r="PA47" s="225"/>
      <c r="PB47" s="225"/>
      <c r="PC47" s="225"/>
      <c r="PD47" s="225"/>
      <c r="PE47" s="225"/>
      <c r="PF47" s="225"/>
      <c r="PG47" s="225"/>
      <c r="PH47" s="225"/>
      <c r="PI47" s="225"/>
      <c r="PJ47" s="225"/>
      <c r="PK47" s="225"/>
      <c r="PL47" s="225"/>
      <c r="PM47" s="225"/>
      <c r="PN47" s="225"/>
      <c r="PO47" s="225"/>
      <c r="PP47" s="225"/>
      <c r="PQ47" s="225"/>
      <c r="PR47" s="225"/>
      <c r="PS47" s="225"/>
      <c r="PT47" s="225"/>
      <c r="PU47" s="225"/>
      <c r="PV47" s="225"/>
      <c r="PW47" s="225"/>
      <c r="PX47" s="225"/>
      <c r="PY47" s="225"/>
      <c r="PZ47" s="225"/>
      <c r="QA47" s="225"/>
      <c r="QB47" s="225"/>
      <c r="QC47" s="225"/>
      <c r="QD47" s="225"/>
      <c r="QE47" s="225"/>
      <c r="QF47" s="225"/>
      <c r="QG47" s="225"/>
      <c r="QH47" s="225"/>
      <c r="QI47" s="225"/>
      <c r="QJ47" s="225"/>
      <c r="QK47" s="225"/>
      <c r="QL47" s="225"/>
      <c r="QM47" s="225"/>
      <c r="QN47" s="225"/>
      <c r="QO47" s="225"/>
      <c r="QP47" s="225"/>
      <c r="QQ47" s="225"/>
      <c r="QR47" s="225"/>
      <c r="QW47" s="221"/>
      <c r="QX47" s="221"/>
      <c r="QY47" s="221"/>
      <c r="QZ47" s="224"/>
      <c r="RA47" s="931"/>
      <c r="RB47" s="931">
        <f>'Проверочная  таблица'!SH37</f>
        <v>57635515.079999998</v>
      </c>
      <c r="RC47" s="1128"/>
      <c r="RD47" s="931"/>
      <c r="RE47" s="225">
        <f>'Проверочная  таблица'!RO37</f>
        <v>136800</v>
      </c>
      <c r="SK47" s="931">
        <f>TI37+VO37+TY37</f>
        <v>280310588.79000002</v>
      </c>
      <c r="SL47" s="931">
        <f>TJ37+VR37+TZ37</f>
        <v>173345444.95999998</v>
      </c>
      <c r="SM47" s="238"/>
      <c r="SN47" s="238"/>
      <c r="SO47" s="238"/>
      <c r="SP47" s="238"/>
      <c r="SQ47" s="238"/>
      <c r="SR47" s="238"/>
      <c r="SS47" s="238"/>
      <c r="ST47" s="238"/>
      <c r="SU47" s="238"/>
      <c r="SV47" s="238"/>
      <c r="SW47" s="238"/>
      <c r="SX47" s="238"/>
      <c r="SY47" s="225"/>
      <c r="SZ47" s="225"/>
      <c r="TA47" s="225"/>
      <c r="TB47" s="225"/>
      <c r="TC47" s="225"/>
      <c r="TD47" s="225"/>
      <c r="TE47" s="225"/>
      <c r="TF47" s="225"/>
      <c r="TG47" s="225"/>
      <c r="TH47" s="225"/>
      <c r="TI47" s="225"/>
      <c r="TJ47" s="225"/>
      <c r="TK47" s="225"/>
      <c r="TL47" s="225"/>
      <c r="TM47" s="225"/>
      <c r="TN47" s="225"/>
      <c r="TO47" s="225"/>
      <c r="TP47" s="225"/>
      <c r="TQ47" s="225"/>
      <c r="TR47" s="225"/>
      <c r="TS47" s="225"/>
      <c r="TT47" s="225"/>
      <c r="TU47" s="225"/>
      <c r="TV47" s="225"/>
      <c r="TW47" s="225"/>
      <c r="TX47" s="225"/>
      <c r="TY47" s="225"/>
      <c r="TZ47" s="225"/>
      <c r="UA47" s="225"/>
      <c r="UB47" s="225"/>
      <c r="UC47" s="225"/>
      <c r="UD47" s="225"/>
      <c r="UE47" s="225"/>
      <c r="UF47" s="225"/>
      <c r="UG47" s="225"/>
      <c r="UH47" s="225"/>
      <c r="UI47" s="225"/>
      <c r="UJ47" s="225"/>
      <c r="UK47" s="225"/>
      <c r="UL47" s="225"/>
      <c r="UM47" s="225"/>
      <c r="UN47" s="225"/>
      <c r="UO47" s="221"/>
      <c r="UP47" s="1412"/>
      <c r="UQ47" s="1412"/>
      <c r="UR47" s="1412"/>
      <c r="US47" s="221"/>
      <c r="UT47" s="1412"/>
      <c r="UU47" s="1412"/>
      <c r="UV47" s="221"/>
      <c r="UW47" s="1412"/>
      <c r="UX47" s="1412"/>
      <c r="UY47" s="1412"/>
      <c r="UZ47" s="221"/>
      <c r="VA47" s="1412"/>
      <c r="VB47" s="1412"/>
      <c r="VC47" s="221"/>
      <c r="VD47" s="221"/>
      <c r="VE47" s="1412"/>
      <c r="VF47" s="221"/>
      <c r="VG47" s="221"/>
      <c r="VH47" s="1412"/>
      <c r="VI47" s="221"/>
      <c r="VJ47" s="221"/>
      <c r="VK47" s="1412"/>
      <c r="VL47" s="221"/>
      <c r="VM47" s="221"/>
      <c r="VN47" s="1412"/>
      <c r="VO47" s="221"/>
      <c r="VP47" s="221"/>
      <c r="VQ47" s="1412"/>
      <c r="VR47" s="221"/>
      <c r="VS47" s="221"/>
      <c r="VT47" s="1412"/>
    </row>
    <row r="48" spans="1:612" ht="18.75" customHeight="1" x14ac:dyDescent="0.2">
      <c r="A48" s="929" t="s">
        <v>41</v>
      </c>
      <c r="B48" s="930">
        <f>D48+AI48+'Проверочная  таблица'!RA48+'Проверочная  таблица'!SK48</f>
        <v>1607397347.01</v>
      </c>
      <c r="C48" s="930">
        <f>E48+'Проверочная  таблица'!RD48+AJ48+'Проверочная  таблица'!SL48</f>
        <v>1131474784.1700003</v>
      </c>
      <c r="D48" s="931">
        <f>D46-D47</f>
        <v>1188432116</v>
      </c>
      <c r="E48" s="931">
        <f>E46-E47</f>
        <v>934834898.82000005</v>
      </c>
      <c r="V48" s="221"/>
      <c r="AA48" s="221"/>
      <c r="AC48" s="221"/>
      <c r="AD48" s="221"/>
      <c r="AE48" s="221"/>
      <c r="AF48" s="221"/>
      <c r="AG48" s="221"/>
      <c r="AH48" s="1156" t="s">
        <v>41</v>
      </c>
      <c r="AI48" s="931">
        <f>AI46-AI47</f>
        <v>273506207.27000004</v>
      </c>
      <c r="AJ48" s="931">
        <f>AJ46-AJ47</f>
        <v>78815605.2700001</v>
      </c>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5"/>
      <c r="BR48" s="225"/>
      <c r="BS48" s="225"/>
      <c r="BT48" s="225"/>
      <c r="BU48" s="225"/>
      <c r="BV48" s="225"/>
      <c r="BW48" s="225"/>
      <c r="BX48" s="225"/>
      <c r="BZ48" s="225"/>
      <c r="CA48" s="225"/>
      <c r="CB48" s="225"/>
      <c r="CC48" s="225"/>
      <c r="CE48" s="225"/>
      <c r="CF48" s="225"/>
      <c r="CG48" s="225"/>
      <c r="CH48" s="225"/>
      <c r="CJ48" s="225"/>
      <c r="CK48" s="225"/>
      <c r="CL48" s="225"/>
      <c r="CM48" s="225"/>
      <c r="CO48" s="225"/>
      <c r="CP48" s="225"/>
      <c r="CQ48" s="225"/>
      <c r="CR48" s="225"/>
      <c r="EK48" s="225"/>
      <c r="EL48" s="225"/>
      <c r="EM48" s="225"/>
      <c r="EN48" s="225"/>
      <c r="EO48" s="225"/>
      <c r="EP48" s="225"/>
      <c r="EQ48" s="225"/>
      <c r="ER48" s="225"/>
      <c r="ES48" s="225"/>
      <c r="ET48" s="225"/>
      <c r="EU48" s="225"/>
      <c r="EV48" s="225"/>
      <c r="EW48" s="225"/>
      <c r="EX48" s="225"/>
      <c r="EY48" s="225"/>
      <c r="EZ48" s="225"/>
      <c r="FA48" s="225"/>
      <c r="FB48" s="225"/>
      <c r="FC48" s="225"/>
      <c r="FD48" s="225"/>
      <c r="FE48" s="225"/>
      <c r="FF48" s="225"/>
      <c r="FG48" s="225"/>
      <c r="FH48" s="225"/>
      <c r="FI48" s="225"/>
      <c r="FJ48" s="225"/>
      <c r="HQ48" s="225"/>
      <c r="HR48" s="225"/>
      <c r="HS48" s="225"/>
      <c r="HT48" s="225"/>
      <c r="HU48" s="225"/>
      <c r="HV48" s="225"/>
      <c r="HW48" s="225"/>
      <c r="HX48" s="225"/>
      <c r="HY48" s="225"/>
      <c r="HZ48" s="225"/>
      <c r="IA48" s="225"/>
      <c r="IB48" s="225"/>
      <c r="IC48" s="225"/>
      <c r="ID48" s="225"/>
      <c r="IQ48" s="221"/>
      <c r="IR48" s="1412"/>
      <c r="IS48" s="1412"/>
      <c r="IT48" s="221"/>
      <c r="IU48" s="221"/>
      <c r="IV48" s="1412"/>
      <c r="IW48" s="1412"/>
      <c r="IX48" s="1258"/>
      <c r="IY48" s="1258"/>
      <c r="IZ48" s="1265"/>
      <c r="JA48" s="221"/>
      <c r="JB48" s="1412"/>
      <c r="JC48" s="1412"/>
      <c r="JD48" s="221"/>
      <c r="JE48" s="221"/>
      <c r="JF48" s="1412"/>
      <c r="JG48" s="1412"/>
      <c r="JH48" s="1258"/>
      <c r="JI48" s="1258"/>
      <c r="JJ48" s="1265"/>
      <c r="JK48" s="221"/>
      <c r="JL48" s="1412"/>
      <c r="JM48" s="1412"/>
      <c r="JN48" s="221"/>
      <c r="JO48" s="221"/>
      <c r="JP48" s="221"/>
      <c r="JQ48" s="1412"/>
      <c r="JR48" s="1412"/>
      <c r="JS48" s="221"/>
      <c r="JT48" s="221"/>
      <c r="JU48" s="259"/>
      <c r="JV48" s="259"/>
      <c r="JW48" s="259"/>
      <c r="JX48" s="259"/>
      <c r="JY48" s="259"/>
      <c r="JZ48" s="259"/>
      <c r="KA48" s="259"/>
      <c r="KB48" s="259"/>
      <c r="KC48" s="259"/>
      <c r="KD48" s="259"/>
      <c r="KE48" s="259"/>
      <c r="KF48" s="259"/>
      <c r="KG48" s="259"/>
      <c r="KH48" s="259"/>
      <c r="KI48" s="259"/>
      <c r="KJ48" s="259"/>
      <c r="KK48" s="259"/>
      <c r="KL48" s="259"/>
      <c r="KM48" s="259"/>
      <c r="KN48" s="259"/>
      <c r="KO48" s="272"/>
      <c r="KP48" s="272"/>
      <c r="KQ48" s="272"/>
      <c r="KR48" s="272"/>
      <c r="KS48" s="272"/>
      <c r="KW48" s="241"/>
      <c r="KX48" s="242"/>
      <c r="KY48" s="242"/>
      <c r="MG48" s="225"/>
      <c r="MH48" s="225"/>
      <c r="MI48" s="225"/>
      <c r="MJ48" s="225"/>
      <c r="MK48" s="225"/>
      <c r="ML48" s="225"/>
      <c r="MM48" s="225"/>
      <c r="MN48" s="225"/>
      <c r="MO48" s="225"/>
      <c r="MP48" s="225"/>
      <c r="MQ48" s="225"/>
      <c r="MR48" s="225"/>
      <c r="MS48" s="225"/>
      <c r="MT48" s="225"/>
      <c r="MU48" s="225"/>
      <c r="MV48" s="225"/>
      <c r="MW48" s="225"/>
      <c r="MX48" s="225"/>
      <c r="MY48" s="225"/>
      <c r="MZ48" s="225"/>
      <c r="NA48" s="225"/>
      <c r="NB48" s="225"/>
      <c r="NC48" s="225"/>
      <c r="ND48" s="225"/>
      <c r="NE48" s="225"/>
      <c r="NF48" s="225"/>
      <c r="NG48" s="225"/>
      <c r="NH48" s="225"/>
      <c r="NI48" s="225"/>
      <c r="NJ48" s="225"/>
      <c r="NQ48" s="225"/>
      <c r="NR48" s="225"/>
      <c r="NS48" s="225"/>
      <c r="NT48" s="225"/>
      <c r="NU48" s="225"/>
      <c r="NV48" s="225"/>
      <c r="NW48" s="225"/>
      <c r="NX48" s="225"/>
      <c r="NY48" s="225"/>
      <c r="NZ48" s="225"/>
      <c r="OA48" s="225"/>
      <c r="OB48" s="225"/>
      <c r="OC48" s="225"/>
      <c r="OD48" s="225"/>
      <c r="OE48" s="225"/>
      <c r="OF48" s="225"/>
      <c r="OG48" s="225"/>
      <c r="OH48" s="225"/>
      <c r="OI48" s="225"/>
      <c r="OJ48" s="225"/>
      <c r="OK48" s="225"/>
      <c r="OL48" s="225"/>
      <c r="OM48" s="225"/>
      <c r="ON48" s="225"/>
      <c r="OO48" s="225"/>
      <c r="OP48" s="225"/>
      <c r="OQ48" s="225"/>
      <c r="OR48" s="225"/>
      <c r="OS48" s="225"/>
      <c r="OT48" s="225"/>
      <c r="OU48" s="225"/>
      <c r="OV48" s="225"/>
      <c r="OW48" s="225"/>
      <c r="OX48" s="225"/>
      <c r="OY48" s="225"/>
      <c r="OZ48" s="225"/>
      <c r="PA48" s="225"/>
      <c r="PB48" s="225"/>
      <c r="PC48" s="225"/>
      <c r="PD48" s="225"/>
      <c r="PE48" s="225"/>
      <c r="PF48" s="225"/>
      <c r="PG48" s="225"/>
      <c r="PH48" s="225"/>
      <c r="PI48" s="225"/>
      <c r="PJ48" s="225"/>
      <c r="PK48" s="225"/>
      <c r="PL48" s="225"/>
      <c r="PM48" s="225"/>
      <c r="PN48" s="225"/>
      <c r="PO48" s="225"/>
      <c r="PP48" s="225"/>
      <c r="PQ48" s="225"/>
      <c r="PR48" s="225"/>
      <c r="PS48" s="225"/>
      <c r="PT48" s="225"/>
      <c r="PU48" s="225"/>
      <c r="PV48" s="225"/>
      <c r="PW48" s="225"/>
      <c r="PX48" s="225"/>
      <c r="PY48" s="225"/>
      <c r="PZ48" s="225"/>
      <c r="QA48" s="225"/>
      <c r="QB48" s="225"/>
      <c r="QC48" s="225"/>
      <c r="QD48" s="225"/>
      <c r="QE48" s="225"/>
      <c r="QF48" s="225"/>
      <c r="QG48" s="225"/>
      <c r="QH48" s="225"/>
      <c r="QI48" s="225"/>
      <c r="QJ48" s="225"/>
      <c r="QK48" s="225"/>
      <c r="QL48" s="225"/>
      <c r="QM48" s="225"/>
      <c r="QN48" s="225"/>
      <c r="QO48" s="225"/>
      <c r="QP48" s="225"/>
      <c r="QQ48" s="225"/>
      <c r="QR48" s="225"/>
      <c r="QW48" s="221"/>
      <c r="QX48" s="221"/>
      <c r="QY48" s="221"/>
      <c r="QZ48" s="224"/>
      <c r="RA48" s="931">
        <f>RA46-RA47</f>
        <v>32076000</v>
      </c>
      <c r="RB48" s="931">
        <f>RB46-RB47</f>
        <v>-57635515.079999998</v>
      </c>
      <c r="RC48" s="1128"/>
      <c r="RD48" s="931">
        <f>RD46-RD47</f>
        <v>20852690.699999999</v>
      </c>
      <c r="RE48" s="225">
        <f>RE46-RE47</f>
        <v>-136800</v>
      </c>
      <c r="SK48" s="931">
        <f>TG37+VI37+TW37</f>
        <v>113383023.74000001</v>
      </c>
      <c r="SL48" s="931">
        <f>TH37+VL37+TX37</f>
        <v>96971589.38000001</v>
      </c>
      <c r="SM48" s="238"/>
      <c r="SN48" s="238"/>
      <c r="SO48" s="238"/>
      <c r="SP48" s="238"/>
      <c r="SQ48" s="238"/>
      <c r="SR48" s="238"/>
      <c r="SS48" s="238"/>
      <c r="ST48" s="238"/>
      <c r="SU48" s="238"/>
      <c r="SV48" s="238"/>
      <c r="SW48" s="238"/>
      <c r="SX48" s="238"/>
      <c r="SY48" s="225"/>
      <c r="SZ48" s="225"/>
      <c r="TA48" s="225"/>
      <c r="TB48" s="225"/>
      <c r="TC48" s="225"/>
      <c r="TD48" s="225"/>
      <c r="TE48" s="225"/>
      <c r="TF48" s="225"/>
      <c r="TG48" s="225"/>
      <c r="TH48" s="225"/>
      <c r="TI48" s="225"/>
      <c r="TJ48" s="225"/>
      <c r="TK48" s="225"/>
      <c r="TL48" s="225"/>
      <c r="TM48" s="225"/>
      <c r="TN48" s="225"/>
      <c r="TO48" s="225"/>
      <c r="TP48" s="225"/>
      <c r="TQ48" s="225"/>
      <c r="TR48" s="225"/>
      <c r="TS48" s="225"/>
      <c r="TT48" s="225"/>
      <c r="TU48" s="225"/>
      <c r="TV48" s="225"/>
      <c r="TW48" s="225"/>
      <c r="TX48" s="225"/>
      <c r="TY48" s="225"/>
      <c r="TZ48" s="225"/>
      <c r="UA48" s="225"/>
      <c r="UB48" s="225"/>
      <c r="UC48" s="225"/>
      <c r="UD48" s="225"/>
      <c r="UE48" s="225"/>
      <c r="UF48" s="225"/>
      <c r="UG48" s="225"/>
      <c r="UH48" s="225"/>
      <c r="UI48" s="225"/>
      <c r="UJ48" s="225"/>
      <c r="UK48" s="225"/>
      <c r="UL48" s="225"/>
      <c r="UM48" s="225"/>
      <c r="UN48" s="225"/>
      <c r="UO48" s="221"/>
      <c r="UP48" s="1412"/>
      <c r="UQ48" s="1412"/>
      <c r="UR48" s="1412"/>
      <c r="US48" s="221"/>
      <c r="UT48" s="1412"/>
      <c r="UU48" s="1412"/>
      <c r="UV48" s="221"/>
      <c r="UW48" s="1412"/>
      <c r="UX48" s="1412"/>
      <c r="UY48" s="1412"/>
      <c r="UZ48" s="221"/>
      <c r="VA48" s="1412"/>
      <c r="VB48" s="1412"/>
      <c r="VC48" s="221"/>
      <c r="VD48" s="221"/>
      <c r="VE48" s="1412"/>
      <c r="VF48" s="221"/>
      <c r="VG48" s="221"/>
      <c r="VH48" s="1412"/>
      <c r="VI48" s="221"/>
      <c r="VJ48" s="221"/>
      <c r="VK48" s="1412"/>
      <c r="VL48" s="221"/>
      <c r="VM48" s="221"/>
      <c r="VN48" s="1412"/>
      <c r="VO48" s="221"/>
      <c r="VP48" s="221"/>
      <c r="VQ48" s="1412"/>
      <c r="VR48" s="221"/>
      <c r="VS48" s="221"/>
      <c r="VT48" s="1412"/>
    </row>
    <row r="49" spans="1:612" s="221" customFormat="1" ht="18.75" customHeight="1" x14ac:dyDescent="0.2">
      <c r="A49" s="929" t="s">
        <v>164</v>
      </c>
      <c r="B49" s="932">
        <f>B37-B45-B46-B44</f>
        <v>0</v>
      </c>
      <c r="C49" s="932">
        <f>C37-C45-C46-C44</f>
        <v>0</v>
      </c>
      <c r="D49" s="932">
        <f>D37-D45-D46-D44</f>
        <v>0</v>
      </c>
      <c r="E49" s="932">
        <f>E37-E45-E46-E44</f>
        <v>0</v>
      </c>
      <c r="AH49" s="1156" t="s">
        <v>164</v>
      </c>
      <c r="AI49" s="932">
        <f>AI37-AI45-AI46-AI44</f>
        <v>0</v>
      </c>
      <c r="AJ49" s="932">
        <f>AJ37-AJ45-AJ46-AJ44</f>
        <v>0</v>
      </c>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39"/>
      <c r="BR49" s="239"/>
      <c r="BS49" s="239"/>
      <c r="BT49" s="239"/>
      <c r="BU49" s="239"/>
      <c r="BV49" s="239"/>
      <c r="BW49" s="239"/>
      <c r="BX49" s="239"/>
      <c r="BY49"/>
      <c r="BZ49" s="239"/>
      <c r="CA49" s="239"/>
      <c r="CB49" s="239"/>
      <c r="CC49" s="239"/>
      <c r="CD49"/>
      <c r="CE49" s="239"/>
      <c r="CF49" s="239"/>
      <c r="CG49" s="239"/>
      <c r="CH49" s="239"/>
      <c r="CI49"/>
      <c r="CJ49" s="239"/>
      <c r="CK49" s="239"/>
      <c r="CL49" s="239"/>
      <c r="CM49" s="239"/>
      <c r="CN49"/>
      <c r="CO49" s="239"/>
      <c r="CP49" s="239"/>
      <c r="CQ49" s="239"/>
      <c r="CR49" s="239"/>
      <c r="DI49" s="1125"/>
      <c r="DJ49" s="1412"/>
      <c r="DK49" s="1125"/>
      <c r="DL49" s="1125"/>
      <c r="DM49" s="1125"/>
      <c r="DN49" s="1412"/>
      <c r="DO49" s="1125"/>
      <c r="DP49" s="1125"/>
      <c r="EK49" s="239"/>
      <c r="EL49" s="239"/>
      <c r="EM49" s="239"/>
      <c r="EN49" s="239"/>
      <c r="EO49" s="239"/>
      <c r="EP49" s="239"/>
      <c r="EQ49" s="239"/>
      <c r="ER49" s="239"/>
      <c r="ES49" s="239"/>
      <c r="ET49" s="239"/>
      <c r="EU49" s="239"/>
      <c r="EV49" s="239"/>
      <c r="EW49" s="239"/>
      <c r="EX49" s="239"/>
      <c r="EY49" s="239"/>
      <c r="EZ49" s="239"/>
      <c r="FA49" s="239"/>
      <c r="FB49" s="239"/>
      <c r="FC49" s="239"/>
      <c r="FD49" s="239"/>
      <c r="FE49" s="239"/>
      <c r="FF49" s="239"/>
      <c r="FG49" s="239"/>
      <c r="FH49" s="239"/>
      <c r="FI49" s="239"/>
      <c r="FJ49" s="239"/>
      <c r="FQ49" s="1027"/>
      <c r="FR49" s="1027"/>
      <c r="FS49" s="1027"/>
      <c r="FT49" s="1027"/>
      <c r="FU49" s="1027"/>
      <c r="FV49" s="1027"/>
      <c r="FW49" s="1154"/>
      <c r="FX49" s="1154"/>
      <c r="FY49" s="1154"/>
      <c r="FZ49" s="1154"/>
      <c r="GA49" s="1154"/>
      <c r="GB49" s="1154"/>
      <c r="GC49" s="1154"/>
      <c r="GD49" s="1154"/>
      <c r="GE49" s="1154"/>
      <c r="GF49" s="1154"/>
      <c r="GG49" s="1247"/>
      <c r="GH49" s="1247"/>
      <c r="GI49" s="1247"/>
      <c r="GJ49" s="1247"/>
      <c r="GK49" s="1247"/>
      <c r="GL49" s="1247"/>
      <c r="GM49" s="1112"/>
      <c r="GN49" s="1112"/>
      <c r="GO49" s="1112"/>
      <c r="GP49" s="1112"/>
      <c r="GQ49" s="1112"/>
      <c r="GR49" s="1112"/>
      <c r="GS49" s="1112"/>
      <c r="GT49" s="1112"/>
      <c r="GU49" s="1112"/>
      <c r="GV49" s="1112"/>
      <c r="GW49" s="1112"/>
      <c r="GX49" s="1112"/>
      <c r="GY49" s="1112"/>
      <c r="GZ49" s="1112"/>
      <c r="HA49" s="1112"/>
      <c r="HB49" s="1112"/>
      <c r="HC49" s="1112"/>
      <c r="HD49" s="1112"/>
      <c r="HE49" s="1112"/>
      <c r="HF49" s="1112"/>
      <c r="HG49" s="1112"/>
      <c r="HH49" s="1112"/>
      <c r="HI49" s="1112"/>
      <c r="HJ49" s="1112"/>
      <c r="HQ49" s="239"/>
      <c r="HR49" s="239"/>
      <c r="HS49" s="239"/>
      <c r="HT49" s="239"/>
      <c r="HU49" s="239"/>
      <c r="HV49" s="239"/>
      <c r="HW49" s="239"/>
      <c r="HX49" s="239"/>
      <c r="HY49" s="239"/>
      <c r="HZ49" s="239"/>
      <c r="IA49" s="239"/>
      <c r="IB49" s="239"/>
      <c r="IC49" s="239"/>
      <c r="ID49" s="239"/>
      <c r="IR49" s="1412"/>
      <c r="IS49" s="1412"/>
      <c r="IV49" s="1412"/>
      <c r="IW49" s="1412"/>
      <c r="IX49" s="1258"/>
      <c r="IY49" s="1258"/>
      <c r="IZ49" s="1265"/>
      <c r="JB49" s="1412"/>
      <c r="JC49" s="1412"/>
      <c r="JF49" s="1412"/>
      <c r="JG49" s="1412"/>
      <c r="JH49" s="1258"/>
      <c r="JI49" s="1258"/>
      <c r="JJ49" s="1265"/>
      <c r="JL49" s="1412"/>
      <c r="JM49" s="1412"/>
      <c r="JQ49" s="1412"/>
      <c r="JR49" s="1412"/>
      <c r="JU49" s="246"/>
      <c r="JV49" s="246"/>
      <c r="JW49" s="246"/>
      <c r="JX49" s="246"/>
      <c r="JY49" s="246"/>
      <c r="JZ49" s="246"/>
      <c r="KA49" s="246"/>
      <c r="KB49" s="246"/>
      <c r="KC49" s="246"/>
      <c r="KD49" s="246"/>
      <c r="KE49" s="246"/>
      <c r="KF49" s="246"/>
      <c r="KG49" s="246"/>
      <c r="KH49" s="246"/>
      <c r="KI49" s="246"/>
      <c r="KJ49" s="246"/>
      <c r="KK49" s="246"/>
      <c r="KL49" s="246"/>
      <c r="KM49" s="246"/>
      <c r="KN49" s="246"/>
      <c r="KO49" s="272"/>
      <c r="KP49" s="272"/>
      <c r="KQ49" s="272"/>
      <c r="KR49" s="272"/>
      <c r="KS49" s="272"/>
      <c r="KT49" s="272"/>
      <c r="KU49"/>
      <c r="KV49"/>
      <c r="KW49"/>
      <c r="KX49"/>
      <c r="KY49"/>
      <c r="KZ49"/>
      <c r="LD49" s="1098"/>
      <c r="LH49" s="1098"/>
      <c r="LL49" s="1098"/>
      <c r="LP49" s="1412"/>
      <c r="LT49" s="1098"/>
      <c r="LX49" s="1098"/>
      <c r="MB49" s="1098"/>
      <c r="MF49" s="1098"/>
      <c r="MG49" s="239"/>
      <c r="MH49" s="239"/>
      <c r="MI49" s="239"/>
      <c r="MJ49" s="239"/>
      <c r="MK49" s="239"/>
      <c r="ML49" s="239"/>
      <c r="MM49" s="239"/>
      <c r="MN49" s="239"/>
      <c r="MO49" s="239"/>
      <c r="MP49" s="239"/>
      <c r="MQ49" s="239"/>
      <c r="MR49" s="239"/>
      <c r="MS49" s="239"/>
      <c r="MT49" s="239"/>
      <c r="MU49" s="239"/>
      <c r="MV49" s="239"/>
      <c r="MW49" s="239"/>
      <c r="MX49" s="239"/>
      <c r="MY49" s="239"/>
      <c r="MZ49" s="239"/>
      <c r="NA49" s="239"/>
      <c r="NB49" s="239"/>
      <c r="NC49" s="239"/>
      <c r="ND49" s="239"/>
      <c r="NE49" s="239"/>
      <c r="NF49" s="239"/>
      <c r="NG49" s="239"/>
      <c r="NH49" s="239"/>
      <c r="NI49" s="239"/>
      <c r="NJ49" s="239"/>
      <c r="NK49" s="1036"/>
      <c r="NL49" s="1036"/>
      <c r="NM49" s="1036"/>
      <c r="NN49" s="1036"/>
      <c r="NO49" s="1036"/>
      <c r="NP49" s="1036"/>
      <c r="NQ49" s="239"/>
      <c r="NR49" s="239"/>
      <c r="NS49" s="239"/>
      <c r="NT49" s="239"/>
      <c r="NU49" s="239"/>
      <c r="NV49" s="239"/>
      <c r="NW49" s="239"/>
      <c r="NX49" s="239"/>
      <c r="NY49" s="239"/>
      <c r="NZ49" s="239"/>
      <c r="OA49" s="239"/>
      <c r="OB49" s="239"/>
      <c r="OC49" s="239"/>
      <c r="OD49" s="239"/>
      <c r="OE49" s="239"/>
      <c r="OF49" s="239"/>
      <c r="OG49" s="239"/>
      <c r="OH49" s="239"/>
      <c r="OI49" s="239"/>
      <c r="OJ49" s="239"/>
      <c r="OK49" s="239"/>
      <c r="OL49" s="239"/>
      <c r="OM49" s="239"/>
      <c r="ON49" s="239"/>
      <c r="OO49" s="239"/>
      <c r="OP49" s="239"/>
      <c r="OQ49" s="239"/>
      <c r="OR49" s="239"/>
      <c r="OS49" s="239"/>
      <c r="OT49" s="239"/>
      <c r="OU49" s="239"/>
      <c r="OV49" s="239"/>
      <c r="OW49" s="239"/>
      <c r="OX49" s="239"/>
      <c r="OY49" s="239"/>
      <c r="OZ49" s="239"/>
      <c r="PA49" s="239"/>
      <c r="PB49" s="239"/>
      <c r="PC49" s="239"/>
      <c r="PD49" s="239"/>
      <c r="PE49" s="239"/>
      <c r="PF49" s="239"/>
      <c r="PG49" s="239"/>
      <c r="PH49" s="239"/>
      <c r="PI49" s="239"/>
      <c r="PJ49" s="239"/>
      <c r="PK49" s="239"/>
      <c r="PL49" s="239"/>
      <c r="PM49" s="239"/>
      <c r="PN49" s="239"/>
      <c r="PO49" s="239"/>
      <c r="PP49" s="239"/>
      <c r="PQ49" s="239"/>
      <c r="PR49" s="239"/>
      <c r="PS49" s="239"/>
      <c r="PT49" s="239"/>
      <c r="PU49" s="239"/>
      <c r="PV49" s="239"/>
      <c r="PW49" s="239"/>
      <c r="PX49" s="239"/>
      <c r="PY49" s="239"/>
      <c r="PZ49" s="239"/>
      <c r="QA49" s="239"/>
      <c r="QB49" s="239"/>
      <c r="QC49" s="239"/>
      <c r="QD49" s="239"/>
      <c r="QE49" s="239"/>
      <c r="QF49" s="239"/>
      <c r="QG49" s="239"/>
      <c r="QH49" s="239"/>
      <c r="QI49" s="239"/>
      <c r="QJ49" s="239"/>
      <c r="QK49" s="239"/>
      <c r="QL49" s="239"/>
      <c r="QM49" s="239"/>
      <c r="QN49" s="239"/>
      <c r="QO49" s="239"/>
      <c r="QP49" s="239"/>
      <c r="QQ49" s="239"/>
      <c r="QR49" s="239"/>
      <c r="QZ49" s="224"/>
      <c r="RA49" s="932">
        <f>RA37-RA45-RA46-RA44</f>
        <v>0</v>
      </c>
      <c r="RB49" s="1115"/>
      <c r="RC49" s="1115"/>
      <c r="RD49" s="932">
        <f>RD37-RD45-RD46-RD44</f>
        <v>0</v>
      </c>
      <c r="RW49" s="1257"/>
      <c r="RX49" s="1257"/>
      <c r="RY49" s="1257"/>
      <c r="RZ49" s="1257"/>
      <c r="SA49" s="1257"/>
      <c r="SB49" s="1257"/>
      <c r="SC49" s="1266"/>
      <c r="SD49" s="1266"/>
      <c r="SK49" s="931">
        <f>SK46-SK47-SK48</f>
        <v>0</v>
      </c>
      <c r="SL49" s="931">
        <f>SL46-SL47-SL48</f>
        <v>0</v>
      </c>
      <c r="SM49" s="238"/>
      <c r="SN49" s="238"/>
      <c r="SO49" s="238"/>
      <c r="SP49" s="238"/>
      <c r="SQ49" s="238"/>
      <c r="SR49" s="238"/>
      <c r="SS49" s="238"/>
      <c r="ST49" s="238"/>
      <c r="SU49" s="238"/>
      <c r="SV49" s="238"/>
      <c r="SW49" s="238"/>
      <c r="SX49" s="238"/>
      <c r="SY49" s="225"/>
      <c r="SZ49" s="225"/>
      <c r="TA49" s="225"/>
      <c r="TB49" s="225"/>
      <c r="TC49" s="225"/>
      <c r="TD49" s="225"/>
      <c r="TE49" s="225"/>
      <c r="TF49" s="225"/>
      <c r="TG49" s="225"/>
      <c r="TH49" s="225"/>
      <c r="TI49" s="225"/>
      <c r="TJ49" s="225"/>
      <c r="TK49" s="225"/>
      <c r="TL49" s="225"/>
      <c r="TM49" s="225"/>
      <c r="TN49" s="225"/>
      <c r="TO49" s="225"/>
      <c r="TP49" s="225"/>
      <c r="TQ49" s="225"/>
      <c r="TR49" s="225"/>
      <c r="TS49" s="225"/>
      <c r="TT49" s="225"/>
      <c r="TU49" s="225"/>
      <c r="TV49" s="225"/>
      <c r="TW49" s="225"/>
      <c r="TX49" s="225"/>
      <c r="TY49" s="225"/>
      <c r="TZ49" s="225"/>
      <c r="UA49" s="225"/>
      <c r="UB49" s="225"/>
      <c r="UC49" s="225"/>
      <c r="UD49" s="225"/>
      <c r="UE49" s="225"/>
      <c r="UF49" s="225"/>
      <c r="UG49" s="225"/>
      <c r="UH49" s="225"/>
      <c r="UI49" s="225"/>
      <c r="UJ49" s="225"/>
      <c r="UK49" s="225"/>
      <c r="UL49" s="225"/>
      <c r="UM49" s="225"/>
      <c r="UN49" s="225"/>
      <c r="UP49" s="1412"/>
      <c r="UQ49" s="1412"/>
      <c r="UR49" s="1412"/>
      <c r="UT49" s="1412"/>
      <c r="UU49" s="1412"/>
      <c r="UW49" s="1412"/>
      <c r="UX49" s="1412"/>
      <c r="UY49" s="1412"/>
      <c r="VA49" s="1412"/>
      <c r="VB49" s="1412"/>
      <c r="VE49" s="1412"/>
      <c r="VH49" s="1412"/>
      <c r="VK49" s="1412"/>
      <c r="VN49" s="1412"/>
      <c r="VQ49" s="1412"/>
      <c r="VT49" s="1412"/>
      <c r="VU49" s="223"/>
      <c r="VV49" s="223"/>
      <c r="VW49" s="223"/>
      <c r="VX49" s="223"/>
      <c r="VY49" s="223"/>
      <c r="VZ49" s="223"/>
      <c r="WA49" s="223"/>
      <c r="WB49" s="223"/>
      <c r="WC49" s="223"/>
      <c r="WD49" s="223"/>
      <c r="WE49" s="223"/>
      <c r="WF49" s="223"/>
      <c r="WG49" s="223"/>
      <c r="WH49" s="223"/>
      <c r="WI49" s="223"/>
      <c r="WJ49" s="223"/>
      <c r="WK49" s="223"/>
      <c r="WL49" s="223"/>
      <c r="WM49" s="223"/>
      <c r="WN49" s="223"/>
    </row>
    <row r="50" spans="1:612" s="221" customFormat="1" ht="18.75" customHeight="1" x14ac:dyDescent="0.2">
      <c r="B50" s="239"/>
      <c r="C50" s="239"/>
      <c r="D50" s="239"/>
      <c r="E50" s="239"/>
      <c r="AI50" s="1116"/>
      <c r="AJ50" s="1116"/>
      <c r="AK50" s="1072"/>
      <c r="AL50" s="239"/>
      <c r="AM50" s="239"/>
      <c r="AN50" s="239"/>
      <c r="AO50" s="239"/>
      <c r="AP50" s="239"/>
      <c r="AQ50" s="1072"/>
      <c r="AR50" s="239"/>
      <c r="AS50" s="239"/>
      <c r="AT50" s="239"/>
      <c r="AU50" s="239"/>
      <c r="AV50" s="239"/>
      <c r="AW50" s="1072"/>
      <c r="AX50" s="239"/>
      <c r="AY50" s="239"/>
      <c r="AZ50" s="239"/>
      <c r="BA50" s="1072"/>
      <c r="BB50" s="239"/>
      <c r="BC50" s="239"/>
      <c r="BD50" s="239"/>
      <c r="BE50" s="1072"/>
      <c r="BF50" s="239"/>
      <c r="BG50" s="239"/>
      <c r="BH50" s="239"/>
      <c r="BI50" s="1072"/>
      <c r="BJ50" s="239"/>
      <c r="BK50" s="239"/>
      <c r="BL50" s="239"/>
      <c r="BM50" s="1072"/>
      <c r="BN50" s="239"/>
      <c r="BO50" s="239"/>
      <c r="BP50" s="239"/>
      <c r="BQ50" s="1072"/>
      <c r="BR50" s="239"/>
      <c r="BS50" s="239"/>
      <c r="BT50" s="239"/>
      <c r="BU50" s="239"/>
      <c r="BV50" s="239"/>
      <c r="BW50" s="239"/>
      <c r="BX50" s="239"/>
      <c r="BZ50" s="239"/>
      <c r="CA50" s="239"/>
      <c r="CB50" s="239"/>
      <c r="CC50" s="239"/>
      <c r="CE50" s="239"/>
      <c r="CF50" s="239"/>
      <c r="CG50" s="239"/>
      <c r="CH50" s="239"/>
      <c r="CJ50" s="239"/>
      <c r="CK50" s="239"/>
      <c r="CL50" s="239"/>
      <c r="CM50" s="239"/>
      <c r="CO50" s="239"/>
      <c r="CP50" s="239"/>
      <c r="CQ50" s="239"/>
      <c r="CR50" s="239"/>
      <c r="DI50" s="1125"/>
      <c r="DJ50" s="1412"/>
      <c r="DK50" s="1125"/>
      <c r="DL50" s="1125"/>
      <c r="DM50" s="1125"/>
      <c r="DN50" s="1412"/>
      <c r="DO50" s="1125"/>
      <c r="DP50" s="1125"/>
      <c r="EK50" s="239"/>
      <c r="EL50" s="239"/>
      <c r="EM50" s="239"/>
      <c r="EN50" s="239"/>
      <c r="EO50" s="239"/>
      <c r="EP50" s="239"/>
      <c r="EQ50" s="239"/>
      <c r="ER50" s="239"/>
      <c r="ES50" s="239"/>
      <c r="ET50" s="239"/>
      <c r="EU50" s="239"/>
      <c r="EV50" s="239"/>
      <c r="EW50" s="239"/>
      <c r="EX50" s="239"/>
      <c r="EY50" s="239"/>
      <c r="EZ50" s="239"/>
      <c r="FA50" s="239"/>
      <c r="FB50" s="239"/>
      <c r="FC50" s="239"/>
      <c r="FD50" s="239"/>
      <c r="FE50" s="239"/>
      <c r="FF50" s="239"/>
      <c r="FG50" s="239"/>
      <c r="FH50" s="239"/>
      <c r="FI50" s="239"/>
      <c r="FJ50" s="239"/>
      <c r="FQ50" s="1027"/>
      <c r="FR50" s="1027"/>
      <c r="FS50" s="1027"/>
      <c r="FT50" s="1027"/>
      <c r="FU50" s="1027"/>
      <c r="FV50" s="1027"/>
      <c r="FW50" s="1154"/>
      <c r="FX50" s="1154"/>
      <c r="FY50" s="1154"/>
      <c r="FZ50" s="1154"/>
      <c r="GA50" s="1154"/>
      <c r="GB50" s="1154"/>
      <c r="GC50" s="1154"/>
      <c r="GD50" s="1154"/>
      <c r="GE50" s="1154"/>
      <c r="GF50" s="1154"/>
      <c r="GG50" s="1247"/>
      <c r="GH50" s="1247"/>
      <c r="GI50" s="1247"/>
      <c r="GJ50" s="1247"/>
      <c r="GK50" s="1247"/>
      <c r="GL50" s="1247"/>
      <c r="GM50" s="1112"/>
      <c r="GN50" s="1112"/>
      <c r="GO50" s="1112"/>
      <c r="GP50" s="1112"/>
      <c r="GQ50" s="1112"/>
      <c r="GR50" s="1112"/>
      <c r="GS50" s="1112"/>
      <c r="GT50" s="1112"/>
      <c r="GU50" s="1112"/>
      <c r="GV50" s="1112"/>
      <c r="GW50" s="1112"/>
      <c r="GX50" s="1112"/>
      <c r="GY50" s="1112"/>
      <c r="GZ50" s="1112"/>
      <c r="HA50" s="1112"/>
      <c r="HB50" s="1112"/>
      <c r="HC50" s="1112"/>
      <c r="HD50" s="1112"/>
      <c r="HE50" s="1112"/>
      <c r="HF50" s="1112"/>
      <c r="HG50" s="1112"/>
      <c r="HH50" s="1112"/>
      <c r="HI50" s="1112"/>
      <c r="HJ50" s="1112"/>
      <c r="HQ50" s="239"/>
      <c r="HR50" s="239"/>
      <c r="HS50" s="239"/>
      <c r="HT50" s="239"/>
      <c r="HU50" s="239"/>
      <c r="HV50" s="239"/>
      <c r="HW50" s="239"/>
      <c r="HX50" s="239"/>
      <c r="HY50" s="239"/>
      <c r="HZ50" s="239"/>
      <c r="IA50" s="239"/>
      <c r="IB50" s="239"/>
      <c r="IC50" s="239"/>
      <c r="ID50" s="239"/>
      <c r="IR50" s="1412"/>
      <c r="IS50" s="1412"/>
      <c r="IV50" s="1412"/>
      <c r="IW50" s="1412"/>
      <c r="IX50" s="1258"/>
      <c r="IY50" s="1258"/>
      <c r="IZ50" s="1265"/>
      <c r="JB50" s="1412"/>
      <c r="JC50" s="1412"/>
      <c r="JF50" s="1412"/>
      <c r="JG50" s="1412"/>
      <c r="JH50" s="1258"/>
      <c r="JI50" s="1258"/>
      <c r="JJ50" s="1265"/>
      <c r="JL50" s="1412"/>
      <c r="JM50" s="1412"/>
      <c r="JQ50" s="1412"/>
      <c r="JR50" s="1412"/>
      <c r="JU50" s="246"/>
      <c r="JV50" s="246"/>
      <c r="JW50" s="246"/>
      <c r="JX50" s="246"/>
      <c r="JY50" s="246"/>
      <c r="JZ50" s="246"/>
      <c r="KA50" s="246"/>
      <c r="KB50" s="246"/>
      <c r="KC50" s="246"/>
      <c r="KD50" s="246"/>
      <c r="KE50" s="246"/>
      <c r="KF50" s="246"/>
      <c r="KG50" s="246"/>
      <c r="KH50" s="246"/>
      <c r="KI50" s="246"/>
      <c r="KJ50" s="246"/>
      <c r="KK50" s="246"/>
      <c r="KL50" s="246"/>
      <c r="KM50" s="246"/>
      <c r="KN50" s="246"/>
      <c r="KO50" s="239"/>
      <c r="KP50" s="239"/>
      <c r="KQ50" s="239"/>
      <c r="KR50" s="239"/>
      <c r="KS50" s="239"/>
      <c r="KT50" s="239"/>
      <c r="KV50" s="1089"/>
      <c r="KX50" s="1095"/>
      <c r="KZ50" s="1095"/>
      <c r="LD50" s="1098"/>
      <c r="LH50" s="1098"/>
      <c r="LL50" s="1098"/>
      <c r="LP50" s="1412"/>
      <c r="LT50" s="1098"/>
      <c r="LX50" s="1098"/>
      <c r="MB50" s="1098"/>
      <c r="MF50" s="1098"/>
      <c r="MG50" s="239"/>
      <c r="MH50" s="239"/>
      <c r="MI50" s="239"/>
      <c r="MJ50" s="239"/>
      <c r="MK50" s="239"/>
      <c r="ML50" s="239"/>
      <c r="MM50" s="239"/>
      <c r="MN50" s="239"/>
      <c r="MO50" s="239"/>
      <c r="MP50" s="239"/>
      <c r="MQ50" s="239"/>
      <c r="MR50" s="239"/>
      <c r="MS50" s="239"/>
      <c r="MT50" s="239"/>
      <c r="MU50" s="239"/>
      <c r="MV50" s="239"/>
      <c r="MW50" s="239"/>
      <c r="MX50" s="239"/>
      <c r="MY50" s="239"/>
      <c r="MZ50" s="239"/>
      <c r="NA50" s="239"/>
      <c r="NB50" s="239"/>
      <c r="NC50" s="239"/>
      <c r="ND50" s="239"/>
      <c r="NE50" s="239"/>
      <c r="NF50" s="239"/>
      <c r="NG50" s="239"/>
      <c r="NH50" s="239"/>
      <c r="NI50" s="239"/>
      <c r="NJ50" s="239"/>
      <c r="NK50" s="1036"/>
      <c r="NL50" s="1036"/>
      <c r="NM50" s="1036"/>
      <c r="NN50" s="1036"/>
      <c r="NO50" s="1036"/>
      <c r="NP50" s="1036"/>
      <c r="NQ50" s="239"/>
      <c r="NR50" s="239"/>
      <c r="NS50" s="239"/>
      <c r="NT50" s="239"/>
      <c r="NU50" s="239"/>
      <c r="NV50" s="239"/>
      <c r="NW50" s="239"/>
      <c r="NX50" s="239"/>
      <c r="NY50" s="239"/>
      <c r="NZ50" s="239"/>
      <c r="OA50" s="239"/>
      <c r="OB50" s="239"/>
      <c r="OC50" s="239"/>
      <c r="OD50" s="239"/>
      <c r="OE50" s="239"/>
      <c r="OF50" s="239"/>
      <c r="OG50" s="239"/>
      <c r="OH50" s="239"/>
      <c r="OI50" s="239"/>
      <c r="OJ50" s="239"/>
      <c r="OK50" s="239"/>
      <c r="OL50" s="239"/>
      <c r="OM50" s="239"/>
      <c r="ON50" s="239"/>
      <c r="OO50" s="239"/>
      <c r="OP50" s="239"/>
      <c r="OQ50" s="239"/>
      <c r="OR50" s="239"/>
      <c r="OS50" s="239"/>
      <c r="OT50" s="239"/>
      <c r="OU50" s="239"/>
      <c r="OV50" s="239"/>
      <c r="OW50" s="239"/>
      <c r="OX50" s="239"/>
      <c r="OY50" s="239"/>
      <c r="OZ50" s="239"/>
      <c r="PA50" s="239"/>
      <c r="PB50" s="239"/>
      <c r="PC50" s="239"/>
      <c r="PD50" s="239"/>
      <c r="PE50" s="239"/>
      <c r="PF50" s="239"/>
      <c r="PG50" s="239"/>
      <c r="PH50" s="239"/>
      <c r="PI50" s="239"/>
      <c r="PJ50" s="239"/>
      <c r="PK50" s="239"/>
      <c r="PL50" s="239"/>
      <c r="PM50" s="239"/>
      <c r="PN50" s="239"/>
      <c r="PO50" s="239"/>
      <c r="PP50" s="239"/>
      <c r="PQ50" s="239"/>
      <c r="PR50" s="239"/>
      <c r="PS50" s="239"/>
      <c r="PT50" s="239"/>
      <c r="PU50" s="239"/>
      <c r="PV50" s="239"/>
      <c r="PW50" s="239"/>
      <c r="PX50" s="239"/>
      <c r="PY50" s="239"/>
      <c r="PZ50" s="239"/>
      <c r="QA50" s="239"/>
      <c r="QB50" s="239"/>
      <c r="QC50" s="239"/>
      <c r="QD50" s="239"/>
      <c r="QE50" s="239"/>
      <c r="QF50" s="239"/>
      <c r="QG50" s="239"/>
      <c r="QH50" s="239"/>
      <c r="QI50" s="239"/>
      <c r="QJ50" s="239"/>
      <c r="QK50" s="239"/>
      <c r="QL50" s="239"/>
      <c r="QM50" s="239"/>
      <c r="QN50" s="239"/>
      <c r="QO50" s="239"/>
      <c r="QP50" s="239"/>
      <c r="QQ50" s="239"/>
      <c r="QR50" s="239"/>
      <c r="RW50" s="1257"/>
      <c r="RX50" s="1257"/>
      <c r="RY50" s="1257"/>
      <c r="RZ50" s="1257"/>
      <c r="SA50" s="1257"/>
      <c r="SB50" s="1257"/>
      <c r="SC50" s="1266"/>
      <c r="SD50" s="1266"/>
      <c r="SI50" s="1116"/>
      <c r="SJ50" s="1116"/>
      <c r="SK50" s="1116"/>
      <c r="SL50" s="1116"/>
      <c r="SM50" s="1412"/>
      <c r="SN50" s="1412"/>
      <c r="SO50" s="1412"/>
      <c r="SP50" s="1412"/>
      <c r="SQ50" s="1412"/>
      <c r="SR50" s="1412"/>
      <c r="SS50" s="1412"/>
      <c r="ST50" s="1412"/>
      <c r="SU50" s="1412"/>
      <c r="SV50" s="1412"/>
      <c r="SW50" s="1412"/>
      <c r="SX50" s="1412"/>
      <c r="SY50" s="225"/>
      <c r="SZ50" s="225"/>
      <c r="TA50" s="225"/>
      <c r="TB50" s="225"/>
      <c r="TC50" s="225"/>
      <c r="TD50" s="225"/>
      <c r="TE50" s="225"/>
      <c r="TF50" s="225"/>
      <c r="TG50" s="225"/>
      <c r="TH50" s="225"/>
      <c r="TI50" s="225"/>
      <c r="TJ50" s="225"/>
      <c r="TK50" s="225"/>
      <c r="TL50" s="225"/>
      <c r="TM50" s="225"/>
      <c r="TN50" s="225"/>
      <c r="TO50" s="225"/>
      <c r="TP50" s="225"/>
      <c r="TQ50" s="225"/>
      <c r="TR50" s="225"/>
      <c r="TS50" s="225"/>
      <c r="TT50" s="225"/>
      <c r="TU50" s="225"/>
      <c r="TV50" s="225"/>
      <c r="TW50" s="225"/>
      <c r="TX50" s="225"/>
      <c r="TY50" s="225"/>
      <c r="TZ50" s="225"/>
      <c r="UA50" s="225"/>
      <c r="UB50" s="225"/>
      <c r="UC50" s="225"/>
      <c r="UD50" s="225"/>
      <c r="UE50" s="225"/>
      <c r="UF50" s="225"/>
      <c r="UG50" s="225"/>
      <c r="UH50" s="225"/>
      <c r="UI50" s="225"/>
      <c r="UJ50" s="225"/>
      <c r="UK50" s="225"/>
      <c r="UL50" s="225"/>
      <c r="UM50" s="225"/>
      <c r="UN50" s="225"/>
      <c r="UP50" s="1412"/>
      <c r="UQ50" s="1412"/>
      <c r="UR50" s="1412"/>
      <c r="UT50" s="1412"/>
      <c r="UU50" s="1412"/>
      <c r="UW50" s="1412"/>
      <c r="UX50" s="1412"/>
      <c r="UY50" s="1412"/>
      <c r="VA50" s="1412"/>
      <c r="VB50" s="1412"/>
      <c r="VE50" s="1412"/>
      <c r="VH50" s="1412"/>
      <c r="VK50" s="1412"/>
      <c r="VN50" s="1412"/>
      <c r="VQ50" s="1412"/>
      <c r="VT50" s="1412"/>
      <c r="VU50" s="223"/>
      <c r="VV50" s="223"/>
      <c r="VW50" s="223"/>
      <c r="VX50" s="223"/>
      <c r="VY50" s="223"/>
      <c r="VZ50" s="223"/>
      <c r="WA50" s="223"/>
      <c r="WB50" s="223"/>
      <c r="WC50" s="223"/>
      <c r="WD50" s="223"/>
      <c r="WE50" s="223"/>
      <c r="WF50" s="223"/>
      <c r="WG50" s="223"/>
      <c r="WH50" s="223"/>
      <c r="WI50" s="223"/>
      <c r="WJ50" s="223"/>
      <c r="WK50" s="223"/>
      <c r="WL50" s="223"/>
      <c r="WM50" s="223"/>
      <c r="WN50" s="223"/>
    </row>
    <row r="51" spans="1:612" s="221" customFormat="1" ht="18.75" customHeight="1" x14ac:dyDescent="0.2">
      <c r="B51" s="239"/>
      <c r="C51" s="239"/>
      <c r="D51" s="239"/>
      <c r="E51" s="239"/>
      <c r="AI51" s="1116"/>
      <c r="AJ51" s="1116"/>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39"/>
      <c r="BR51" s="239"/>
      <c r="BS51" s="239"/>
      <c r="BT51" s="239"/>
      <c r="BU51" s="239"/>
      <c r="BV51" s="239"/>
      <c r="BW51" s="239"/>
      <c r="BX51" s="239"/>
      <c r="BY51"/>
      <c r="BZ51" s="239"/>
      <c r="CA51" s="239"/>
      <c r="CB51" s="239"/>
      <c r="CC51" s="239"/>
      <c r="CD51"/>
      <c r="CE51" s="239"/>
      <c r="CF51" s="239"/>
      <c r="CG51" s="239"/>
      <c r="CH51" s="239"/>
      <c r="CI51"/>
      <c r="CJ51" s="239"/>
      <c r="CK51" s="239"/>
      <c r="CL51" s="239"/>
      <c r="CM51" s="239"/>
      <c r="CN51"/>
      <c r="CO51" s="239"/>
      <c r="CP51" s="239"/>
      <c r="CQ51" s="239"/>
      <c r="CR51" s="239"/>
      <c r="DI51" s="1125"/>
      <c r="DJ51" s="1412"/>
      <c r="DK51" s="1125"/>
      <c r="DL51" s="1125"/>
      <c r="DM51" s="1125"/>
      <c r="DN51" s="1412"/>
      <c r="DO51" s="1125"/>
      <c r="DP51" s="1125"/>
      <c r="EK51" s="239"/>
      <c r="EL51" s="239"/>
      <c r="EM51" s="239"/>
      <c r="EN51" s="239"/>
      <c r="EO51" s="239"/>
      <c r="EP51" s="239"/>
      <c r="EQ51" s="239"/>
      <c r="ER51" s="239"/>
      <c r="ES51" s="239"/>
      <c r="ET51" s="239"/>
      <c r="EU51" s="239"/>
      <c r="EV51" s="239"/>
      <c r="EW51" s="239"/>
      <c r="EX51" s="239"/>
      <c r="EY51" s="239"/>
      <c r="EZ51" s="239"/>
      <c r="FA51" s="239"/>
      <c r="FB51" s="239"/>
      <c r="FC51" s="239"/>
      <c r="FD51" s="239"/>
      <c r="FE51" s="239"/>
      <c r="FF51" s="239"/>
      <c r="FG51" s="239"/>
      <c r="FH51" s="239"/>
      <c r="FI51" s="239"/>
      <c r="FJ51" s="239"/>
      <c r="FQ51" s="1027"/>
      <c r="FR51" s="1027"/>
      <c r="FS51" s="1027"/>
      <c r="FT51" s="1027"/>
      <c r="FU51" s="1027"/>
      <c r="FV51" s="1027"/>
      <c r="FW51" s="1154"/>
      <c r="FX51" s="1154"/>
      <c r="FY51" s="1154"/>
      <c r="FZ51" s="1154"/>
      <c r="GA51" s="1154"/>
      <c r="GB51" s="1154"/>
      <c r="GC51" s="1154"/>
      <c r="GD51" s="1154"/>
      <c r="GE51" s="1154"/>
      <c r="GF51" s="1154"/>
      <c r="GG51" s="1247"/>
      <c r="GH51" s="1247"/>
      <c r="GI51" s="1247"/>
      <c r="GJ51" s="1247"/>
      <c r="GK51" s="1247"/>
      <c r="GL51" s="1247"/>
      <c r="GM51" s="1112"/>
      <c r="GN51" s="1112"/>
      <c r="GO51" s="1112"/>
      <c r="GP51" s="1112"/>
      <c r="GQ51" s="1112"/>
      <c r="GR51" s="1112"/>
      <c r="GS51" s="1112"/>
      <c r="GT51" s="1112"/>
      <c r="GU51" s="1112"/>
      <c r="GV51" s="1112"/>
      <c r="GW51" s="1112"/>
      <c r="GX51" s="1112"/>
      <c r="GY51" s="1112"/>
      <c r="GZ51" s="1112"/>
      <c r="HA51" s="1112"/>
      <c r="HB51" s="1112"/>
      <c r="HC51" s="1112"/>
      <c r="HD51" s="1112"/>
      <c r="HE51" s="1112"/>
      <c r="HF51" s="1112"/>
      <c r="HG51" s="1112"/>
      <c r="HH51" s="1112"/>
      <c r="HI51" s="1112"/>
      <c r="HJ51" s="1112"/>
      <c r="HQ51" s="239"/>
      <c r="HR51" s="239"/>
      <c r="HS51" s="239"/>
      <c r="HT51" s="239"/>
      <c r="HU51" s="239"/>
      <c r="HV51" s="239"/>
      <c r="HW51" s="239"/>
      <c r="HX51" s="239"/>
      <c r="HY51" s="239"/>
      <c r="HZ51" s="239"/>
      <c r="IA51" s="239"/>
      <c r="IB51" s="239"/>
      <c r="IC51" s="239"/>
      <c r="ID51" s="239"/>
      <c r="IR51" s="1412"/>
      <c r="IS51" s="1412"/>
      <c r="IV51" s="1412"/>
      <c r="IW51" s="1412"/>
      <c r="IX51" s="1258"/>
      <c r="IY51" s="1258"/>
      <c r="IZ51" s="1265"/>
      <c r="JB51" s="1412"/>
      <c r="JC51" s="1412"/>
      <c r="JF51" s="1412"/>
      <c r="JG51" s="1412"/>
      <c r="JH51" s="1258"/>
      <c r="JI51" s="1258"/>
      <c r="JJ51" s="1265"/>
      <c r="JL51" s="1412"/>
      <c r="JM51" s="1412"/>
      <c r="JQ51" s="1412"/>
      <c r="JR51" s="1412"/>
      <c r="JU51" s="246"/>
      <c r="JV51" s="246"/>
      <c r="JW51" s="246"/>
      <c r="JX51" s="246"/>
      <c r="JY51" s="246"/>
      <c r="JZ51" s="246"/>
      <c r="KA51" s="246"/>
      <c r="KB51" s="246"/>
      <c r="KC51" s="246"/>
      <c r="KD51" s="246"/>
      <c r="KE51" s="246"/>
      <c r="KF51" s="246"/>
      <c r="KG51" s="246"/>
      <c r="KH51" s="246"/>
      <c r="KI51" s="246"/>
      <c r="KJ51" s="246"/>
      <c r="KK51" s="246"/>
      <c r="KL51" s="246"/>
      <c r="KM51" s="246"/>
      <c r="KN51" s="246"/>
      <c r="KO51" s="225"/>
      <c r="KP51" s="225"/>
      <c r="KQ51" s="225"/>
      <c r="KR51" s="225"/>
      <c r="KS51" s="225"/>
      <c r="KT51" s="225"/>
      <c r="KU51"/>
      <c r="KV51"/>
      <c r="KW51"/>
      <c r="KX51"/>
      <c r="KY51"/>
      <c r="KZ51"/>
      <c r="LD51" s="1098"/>
      <c r="LH51" s="1098"/>
      <c r="LL51" s="1098"/>
      <c r="LP51" s="1412"/>
      <c r="LT51" s="1098"/>
      <c r="LX51" s="1098"/>
      <c r="MB51" s="1098"/>
      <c r="MF51" s="1098"/>
      <c r="MG51" s="239"/>
      <c r="MH51" s="239"/>
      <c r="MI51" s="239"/>
      <c r="MJ51" s="239"/>
      <c r="MK51" s="239"/>
      <c r="ML51" s="239"/>
      <c r="MM51" s="239"/>
      <c r="MN51" s="239"/>
      <c r="MO51" s="239"/>
      <c r="MP51" s="239"/>
      <c r="MQ51" s="239"/>
      <c r="MR51" s="239"/>
      <c r="MS51" s="239"/>
      <c r="MT51" s="239"/>
      <c r="MU51" s="239"/>
      <c r="MV51" s="239"/>
      <c r="MW51" s="239"/>
      <c r="MX51" s="239"/>
      <c r="MY51" s="239"/>
      <c r="MZ51" s="239"/>
      <c r="NA51" s="239"/>
      <c r="NB51" s="239"/>
      <c r="NC51" s="239"/>
      <c r="ND51" s="239"/>
      <c r="NE51" s="239"/>
      <c r="NF51" s="239"/>
      <c r="NG51" s="239"/>
      <c r="NH51" s="239"/>
      <c r="NI51" s="239"/>
      <c r="NJ51" s="239"/>
      <c r="NK51" s="1036"/>
      <c r="NL51" s="1036"/>
      <c r="NM51" s="1036"/>
      <c r="NN51" s="1036"/>
      <c r="NO51" s="1036"/>
      <c r="NP51" s="1036"/>
      <c r="NQ51" s="239"/>
      <c r="NR51" s="239"/>
      <c r="NS51" s="239"/>
      <c r="NT51" s="239"/>
      <c r="NU51" s="239"/>
      <c r="NV51" s="239"/>
      <c r="NW51" s="239"/>
      <c r="NX51" s="239"/>
      <c r="NY51" s="239"/>
      <c r="NZ51" s="239"/>
      <c r="OA51" s="239"/>
      <c r="OB51" s="239"/>
      <c r="OC51" s="239"/>
      <c r="OD51" s="239"/>
      <c r="OE51" s="239"/>
      <c r="OF51" s="239"/>
      <c r="OG51" s="239"/>
      <c r="OH51" s="239"/>
      <c r="OI51" s="239"/>
      <c r="OJ51" s="239"/>
      <c r="OK51" s="239"/>
      <c r="OL51" s="239"/>
      <c r="OM51" s="239"/>
      <c r="ON51" s="239"/>
      <c r="OO51" s="239"/>
      <c r="OP51" s="239"/>
      <c r="OQ51" s="239"/>
      <c r="OR51" s="239"/>
      <c r="OS51" s="239"/>
      <c r="OT51" s="239"/>
      <c r="OU51" s="239"/>
      <c r="OV51" s="239"/>
      <c r="OW51" s="239"/>
      <c r="OX51" s="239"/>
      <c r="OY51" s="239"/>
      <c r="OZ51" s="239"/>
      <c r="PA51" s="239"/>
      <c r="PB51" s="239"/>
      <c r="PC51" s="239"/>
      <c r="PD51" s="239"/>
      <c r="PE51" s="239"/>
      <c r="PF51" s="239"/>
      <c r="PG51" s="239"/>
      <c r="PH51" s="239"/>
      <c r="PI51" s="239"/>
      <c r="PJ51" s="239"/>
      <c r="PK51" s="239"/>
      <c r="PL51" s="239"/>
      <c r="PM51" s="239"/>
      <c r="PN51" s="239"/>
      <c r="PO51" s="239"/>
      <c r="PP51" s="239"/>
      <c r="PQ51" s="239"/>
      <c r="PR51" s="239"/>
      <c r="PS51" s="239"/>
      <c r="PT51" s="239"/>
      <c r="PU51" s="239"/>
      <c r="PV51" s="239"/>
      <c r="PW51" s="239"/>
      <c r="PX51" s="239"/>
      <c r="PY51" s="239"/>
      <c r="PZ51" s="239"/>
      <c r="QA51" s="239"/>
      <c r="QB51" s="239"/>
      <c r="QC51" s="239"/>
      <c r="QD51" s="239"/>
      <c r="QE51" s="239"/>
      <c r="QF51" s="239"/>
      <c r="QG51" s="239"/>
      <c r="QH51" s="239"/>
      <c r="QI51" s="239"/>
      <c r="QJ51" s="239"/>
      <c r="QK51" s="239"/>
      <c r="QL51" s="239"/>
      <c r="QM51" s="239"/>
      <c r="QN51" s="239"/>
      <c r="QO51" s="239"/>
      <c r="QP51" s="239"/>
      <c r="QQ51" s="239"/>
      <c r="QR51" s="239"/>
      <c r="RW51" s="1257"/>
      <c r="RX51" s="1257"/>
      <c r="RY51" s="1257"/>
      <c r="RZ51" s="1257"/>
      <c r="SA51" s="1257"/>
      <c r="SB51" s="1257"/>
      <c r="SC51" s="1266"/>
      <c r="SD51" s="1266"/>
      <c r="SI51" s="1116"/>
      <c r="SJ51" s="1116"/>
      <c r="SK51" s="1116"/>
      <c r="SL51" s="1116"/>
      <c r="SM51" s="1412"/>
      <c r="SN51" s="1412"/>
      <c r="SO51" s="1412"/>
      <c r="SP51" s="1412"/>
      <c r="SQ51" s="1412"/>
      <c r="SR51" s="1412"/>
      <c r="SS51" s="1412"/>
      <c r="ST51" s="1412"/>
      <c r="SU51" s="1412"/>
      <c r="SV51" s="1412"/>
      <c r="SW51" s="1412"/>
      <c r="SX51" s="1412"/>
      <c r="SY51" s="239"/>
      <c r="SZ51" s="239"/>
      <c r="TA51" s="239"/>
      <c r="TB51" s="239"/>
      <c r="TC51" s="239"/>
      <c r="TD51" s="239"/>
      <c r="TE51" s="239"/>
      <c r="TF51" s="239"/>
      <c r="TG51" s="239"/>
      <c r="TH51" s="239"/>
      <c r="TI51" s="239"/>
      <c r="TJ51" s="239"/>
      <c r="TK51" s="239"/>
      <c r="TL51" s="239"/>
      <c r="TM51" s="239"/>
      <c r="TN51" s="239"/>
      <c r="TO51" s="239"/>
      <c r="TP51" s="239"/>
      <c r="TQ51" s="239"/>
      <c r="TR51" s="239"/>
      <c r="TS51" s="239"/>
      <c r="TT51" s="239"/>
      <c r="TU51" s="239"/>
      <c r="TV51" s="239"/>
      <c r="TW51" s="239"/>
      <c r="TX51" s="239"/>
      <c r="TY51" s="239"/>
      <c r="TZ51" s="239"/>
      <c r="UA51" s="239"/>
      <c r="UB51" s="239"/>
      <c r="UC51" s="239"/>
      <c r="UD51" s="239"/>
      <c r="UE51" s="239"/>
      <c r="UF51" s="239"/>
      <c r="UG51" s="239"/>
      <c r="UH51" s="239"/>
      <c r="UI51" s="239"/>
      <c r="UJ51" s="239"/>
      <c r="UK51" s="239"/>
      <c r="UL51" s="239"/>
      <c r="UM51" s="239"/>
      <c r="UN51" s="239"/>
      <c r="UP51" s="1412"/>
      <c r="UQ51" s="1412"/>
      <c r="UR51" s="1412"/>
      <c r="UT51" s="1412"/>
      <c r="UU51" s="1412"/>
      <c r="UW51" s="1412"/>
      <c r="UX51" s="1412"/>
      <c r="UY51" s="1412"/>
      <c r="VA51" s="1412"/>
      <c r="VB51" s="1412"/>
      <c r="VE51" s="1412"/>
      <c r="VH51" s="1412"/>
      <c r="VK51" s="1412"/>
      <c r="VN51" s="1412"/>
      <c r="VQ51" s="1412"/>
      <c r="VT51" s="1412"/>
    </row>
    <row r="52" spans="1:612" x14ac:dyDescent="0.2">
      <c r="JU52" s="221"/>
      <c r="JV52" s="1412"/>
      <c r="JW52" s="1412"/>
      <c r="JX52" s="221"/>
      <c r="JY52" s="221"/>
      <c r="JZ52" s="221"/>
      <c r="KA52" s="1412"/>
      <c r="KB52" s="1412"/>
      <c r="KC52" s="221"/>
      <c r="KD52" s="221"/>
      <c r="KE52" s="221"/>
      <c r="KF52" s="1412"/>
      <c r="KG52" s="1412"/>
      <c r="KH52" s="221"/>
      <c r="KI52" s="221"/>
      <c r="KJ52" s="221"/>
      <c r="KK52" s="1412"/>
      <c r="KL52" s="1412"/>
      <c r="KM52" s="221"/>
      <c r="KN52" s="221"/>
      <c r="KO52" s="225"/>
      <c r="KP52" s="225"/>
      <c r="KQ52" s="225"/>
      <c r="KR52" s="225"/>
      <c r="KS52" s="225"/>
      <c r="KT52" s="225"/>
    </row>
    <row r="53" spans="1:612" s="934" customFormat="1" ht="33" x14ac:dyDescent="0.25">
      <c r="A53" s="1069" t="s">
        <v>305</v>
      </c>
      <c r="B53" s="930">
        <f>CS53+DA53+DQ53+HK53+HQ53+IQ53+JK53+'Проверочная  таблица'!KO53+'Прочая  субсидия_МР  и  ГО'!B42+BU53+CE53+AK53+AW53+DI53</f>
        <v>2242626870.0499997</v>
      </c>
      <c r="C53" s="930">
        <f>CT53+DB53+DX53+HN53+HT53+JA53+JP53+'Проверочная  таблица'!KS53+'Прочая  субсидия_МР  и  ГО'!C42+BZ53+CJ53+BA53+AQ53+DM53</f>
        <v>1498173101.9100001</v>
      </c>
      <c r="D53" s="1052">
        <f>B53/1000</f>
        <v>2242626.8700499996</v>
      </c>
      <c r="E53" s="1052">
        <f>C53/1000</f>
        <v>1498173.1019100002</v>
      </c>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849">
        <f t="shared" ref="AK53:AK61" si="635">SUM(AL53:AO53)</f>
        <v>0</v>
      </c>
      <c r="AL53" s="936">
        <f>AL37</f>
        <v>0</v>
      </c>
      <c r="AM53" s="223"/>
      <c r="AN53" s="223"/>
      <c r="AO53" s="936">
        <f>AO37</f>
        <v>0</v>
      </c>
      <c r="AP53" s="936"/>
      <c r="AQ53" s="849">
        <f t="shared" ref="AQ53:AQ61" si="636">SUM(AR53:AU53)</f>
        <v>0</v>
      </c>
      <c r="AR53" s="936">
        <f>AR37</f>
        <v>0</v>
      </c>
      <c r="AS53" s="223"/>
      <c r="AT53" s="223"/>
      <c r="AU53" s="936">
        <f t="shared" ref="AU53" si="637">AU37</f>
        <v>0</v>
      </c>
      <c r="AV53" s="936"/>
      <c r="AW53" s="849">
        <f t="shared" ref="AW53:AW61" si="638">SUM(AX53:AZ53)</f>
        <v>0</v>
      </c>
      <c r="AX53" s="936">
        <f>AX37</f>
        <v>0</v>
      </c>
      <c r="AY53" s="223"/>
      <c r="AZ53" s="936">
        <f t="shared" ref="AZ53" si="639">AZ37</f>
        <v>0</v>
      </c>
      <c r="BA53" s="849">
        <f t="shared" ref="BA53:BA61" si="640">SUM(BB53:BD53)</f>
        <v>0</v>
      </c>
      <c r="BB53" s="936">
        <f>BB37</f>
        <v>0</v>
      </c>
      <c r="BC53" s="223"/>
      <c r="BD53" s="936">
        <f>BD37</f>
        <v>0</v>
      </c>
      <c r="BE53" s="223"/>
      <c r="BF53" s="223"/>
      <c r="BG53" s="223"/>
      <c r="BH53" s="223"/>
      <c r="BI53" s="223"/>
      <c r="BJ53" s="223"/>
      <c r="BK53" s="223"/>
      <c r="BL53" s="223"/>
      <c r="BM53" s="223"/>
      <c r="BN53" s="223"/>
      <c r="BO53" s="223"/>
      <c r="BP53" s="223"/>
      <c r="BQ53" s="223"/>
      <c r="BR53" s="223"/>
      <c r="BS53" s="223"/>
      <c r="BT53" s="223"/>
      <c r="BU53" s="225">
        <f>BV37</f>
        <v>213944999.85000002</v>
      </c>
      <c r="BV53" s="223"/>
      <c r="BW53" s="223"/>
      <c r="BX53" s="223"/>
      <c r="BY53"/>
      <c r="BZ53" s="225">
        <f>CA37</f>
        <v>90813101.620000005</v>
      </c>
      <c r="CA53" s="223"/>
      <c r="CB53" s="223"/>
      <c r="CC53" s="223"/>
      <c r="CD53"/>
      <c r="CE53" s="225">
        <f>CF37</f>
        <v>0</v>
      </c>
      <c r="CF53" s="223"/>
      <c r="CG53" s="223"/>
      <c r="CH53" s="223"/>
      <c r="CI53"/>
      <c r="CJ53" s="225">
        <f>CK37</f>
        <v>0</v>
      </c>
      <c r="CK53" s="223"/>
      <c r="CL53" s="223"/>
      <c r="CM53" s="223"/>
      <c r="CN53"/>
      <c r="CO53" s="223"/>
      <c r="CP53" s="223"/>
      <c r="CQ53" s="223"/>
      <c r="CR53" s="223"/>
      <c r="CS53" s="225">
        <f>CS38</f>
        <v>798263276.51999998</v>
      </c>
      <c r="CT53" s="225">
        <f>CT38</f>
        <v>641786815.81999993</v>
      </c>
      <c r="CU53" s="223"/>
      <c r="CV53" s="223"/>
      <c r="CW53" s="223"/>
      <c r="CX53" s="223"/>
      <c r="CY53" s="223"/>
      <c r="CZ53" s="223"/>
      <c r="DA53" s="225">
        <f>DA38</f>
        <v>98609360.170000002</v>
      </c>
      <c r="DB53" s="225">
        <f>DB38</f>
        <v>79198760.790000007</v>
      </c>
      <c r="DC53" s="223"/>
      <c r="DD53" s="223"/>
      <c r="DE53" s="223"/>
      <c r="DF53" s="223"/>
      <c r="DG53" s="223"/>
      <c r="DH53" s="223"/>
      <c r="DI53" s="849">
        <f>DI37</f>
        <v>354973518.56999999</v>
      </c>
      <c r="DJ53" s="849"/>
      <c r="DK53" s="1137"/>
      <c r="DL53" s="1137"/>
      <c r="DM53" s="849">
        <f>DM37</f>
        <v>170204232.49000001</v>
      </c>
      <c r="DN53" s="849"/>
      <c r="DO53" s="1137"/>
      <c r="DP53" s="1137"/>
      <c r="DQ53" s="225">
        <f>DQ37</f>
        <v>19759844.439999998</v>
      </c>
      <c r="DR53" s="223"/>
      <c r="DS53" s="223"/>
      <c r="DT53" s="223"/>
      <c r="DU53" s="223"/>
      <c r="DV53" s="223"/>
      <c r="DW53" s="223"/>
      <c r="DX53" s="225">
        <f>DX37</f>
        <v>12965022.839999998</v>
      </c>
      <c r="DY53" s="223"/>
      <c r="DZ53" s="223"/>
      <c r="EA53" s="223"/>
      <c r="EB53" s="223"/>
      <c r="EC53" s="223"/>
      <c r="ED53" s="223"/>
      <c r="EE53" s="223"/>
      <c r="EF53" s="223"/>
      <c r="EG53" s="223"/>
      <c r="EH53" s="223"/>
      <c r="EI53" s="223"/>
      <c r="EJ53" s="223"/>
      <c r="EK53" s="225"/>
      <c r="EL53" s="225"/>
      <c r="EM53" s="225"/>
      <c r="EN53" s="225"/>
      <c r="EO53" s="225"/>
      <c r="EP53" s="225"/>
      <c r="EQ53" s="225"/>
      <c r="ER53" s="225"/>
      <c r="ES53" s="225"/>
      <c r="ET53" s="225"/>
      <c r="EU53" s="225"/>
      <c r="EV53" s="225"/>
      <c r="EW53" s="225"/>
      <c r="EX53" s="225"/>
      <c r="EY53" s="225"/>
      <c r="EZ53" s="225"/>
      <c r="FA53" s="225"/>
      <c r="FB53" s="225"/>
      <c r="FC53" s="225"/>
      <c r="FD53" s="225"/>
      <c r="FE53" s="225"/>
      <c r="FF53" s="225"/>
      <c r="FG53" s="225"/>
      <c r="FH53" s="225"/>
      <c r="FI53" s="225"/>
      <c r="FJ53" s="225"/>
      <c r="FK53" s="223"/>
      <c r="FL53" s="223"/>
      <c r="FM53" s="223"/>
      <c r="FN53" s="223"/>
      <c r="FO53" s="223"/>
      <c r="FP53" s="223"/>
      <c r="FQ53" s="223"/>
      <c r="FR53" s="223"/>
      <c r="FS53" s="223"/>
      <c r="FT53" s="223"/>
      <c r="FU53" s="223"/>
      <c r="FV53" s="223"/>
      <c r="FW53" s="223"/>
      <c r="FX53" s="223"/>
      <c r="FY53" s="223"/>
      <c r="FZ53" s="223"/>
      <c r="GA53" s="223"/>
      <c r="GB53" s="223"/>
      <c r="GC53" s="223"/>
      <c r="GD53" s="223"/>
      <c r="GE53" s="223"/>
      <c r="GF53" s="223"/>
      <c r="GG53" s="223"/>
      <c r="GH53" s="223"/>
      <c r="GI53" s="223"/>
      <c r="GJ53" s="223"/>
      <c r="GK53" s="223"/>
      <c r="GL53" s="223"/>
      <c r="GM53" s="223"/>
      <c r="GN53" s="223"/>
      <c r="GO53" s="223"/>
      <c r="GP53" s="223"/>
      <c r="GQ53" s="223"/>
      <c r="GR53" s="223"/>
      <c r="GS53" s="223"/>
      <c r="GT53" s="223"/>
      <c r="GU53" s="223"/>
      <c r="GV53" s="223"/>
      <c r="GW53" s="223"/>
      <c r="GX53" s="223"/>
      <c r="GY53" s="223"/>
      <c r="GZ53" s="223"/>
      <c r="HA53" s="223"/>
      <c r="HB53" s="223"/>
      <c r="HC53" s="223"/>
      <c r="HD53" s="223"/>
      <c r="HE53" s="223"/>
      <c r="HF53" s="223"/>
      <c r="HG53" s="223"/>
      <c r="HH53" s="223"/>
      <c r="HI53" s="223"/>
      <c r="HJ53" s="223"/>
      <c r="HK53" s="225">
        <f>HK37</f>
        <v>3740139</v>
      </c>
      <c r="HL53" s="223"/>
      <c r="HM53" s="223"/>
      <c r="HN53" s="225">
        <f>HN37</f>
        <v>3740139</v>
      </c>
      <c r="HO53" s="223"/>
      <c r="HP53" s="223"/>
      <c r="HQ53" s="225">
        <f>HQ38</f>
        <v>21996111.670000002</v>
      </c>
      <c r="HR53" s="225"/>
      <c r="HS53" s="225"/>
      <c r="HT53" s="225">
        <f>HT38</f>
        <v>18938491.700000003</v>
      </c>
      <c r="HU53" s="225"/>
      <c r="HV53" s="225"/>
      <c r="HW53" s="223"/>
      <c r="HX53" s="223"/>
      <c r="HY53" s="223"/>
      <c r="HZ53" s="223"/>
      <c r="IA53" s="223"/>
      <c r="IB53" s="223"/>
      <c r="IC53" s="223"/>
      <c r="ID53" s="223"/>
      <c r="IQ53" s="935">
        <f>SUM(IT53:IZ53)</f>
        <v>0</v>
      </c>
      <c r="IR53" s="935"/>
      <c r="IS53" s="935"/>
      <c r="IT53" s="223"/>
      <c r="IU53" s="223"/>
      <c r="IV53" s="223"/>
      <c r="IW53" s="223"/>
      <c r="IX53" s="223"/>
      <c r="IY53" s="223"/>
      <c r="IZ53" s="223"/>
      <c r="JA53" s="935">
        <f>SUM(JD53:JJ53)</f>
        <v>0</v>
      </c>
      <c r="JB53" s="935"/>
      <c r="JC53" s="935"/>
      <c r="JD53" s="223"/>
      <c r="JE53" s="223"/>
      <c r="JF53" s="223"/>
      <c r="JG53" s="223"/>
      <c r="JH53" s="223"/>
      <c r="JI53" s="223"/>
      <c r="JJ53" s="223"/>
      <c r="JK53" s="935">
        <f>SUM(JN53:JO53)</f>
        <v>0</v>
      </c>
      <c r="JL53" s="935"/>
      <c r="JM53" s="935"/>
      <c r="JN53" s="223"/>
      <c r="JO53" s="223"/>
      <c r="JP53" s="935">
        <f>SUM(JS53:JT53)</f>
        <v>0</v>
      </c>
      <c r="JQ53" s="935"/>
      <c r="JR53" s="935"/>
      <c r="JS53" s="223"/>
      <c r="JT53" s="223"/>
      <c r="JU53" s="221"/>
      <c r="JV53" s="1412"/>
      <c r="JW53" s="1412"/>
      <c r="JX53" s="221"/>
      <c r="JY53" s="221"/>
      <c r="JZ53" s="221"/>
      <c r="KA53" s="1412"/>
      <c r="KB53" s="1412"/>
      <c r="KC53" s="221"/>
      <c r="KD53" s="221"/>
      <c r="KE53" s="221"/>
      <c r="KF53" s="1412"/>
      <c r="KG53" s="1412"/>
      <c r="KH53" s="221"/>
      <c r="KI53" s="221"/>
      <c r="KJ53" s="221"/>
      <c r="KK53" s="1412"/>
      <c r="KL53" s="1412"/>
      <c r="KM53" s="221"/>
      <c r="KN53" s="221"/>
      <c r="KO53" s="225">
        <f>KO37</f>
        <v>342198600</v>
      </c>
      <c r="KP53" s="225"/>
      <c r="KQ53" s="225"/>
      <c r="KR53" s="225"/>
      <c r="KS53" s="225">
        <f>KS37</f>
        <v>218179050.84</v>
      </c>
      <c r="KT53" s="225"/>
      <c r="KU53"/>
      <c r="KV53"/>
      <c r="KW53"/>
      <c r="KX53"/>
      <c r="KY53"/>
      <c r="KZ53"/>
      <c r="LA53"/>
      <c r="LB53"/>
      <c r="LC53"/>
      <c r="LD53"/>
      <c r="LE53"/>
      <c r="LF53"/>
      <c r="LG53"/>
      <c r="LH53"/>
      <c r="LI53"/>
      <c r="LJ53"/>
      <c r="LK53"/>
      <c r="LL53"/>
      <c r="LM53"/>
      <c r="LN53"/>
      <c r="LO53"/>
      <c r="LP53" s="1535"/>
      <c r="LQ53"/>
      <c r="LR53"/>
      <c r="LS53"/>
      <c r="LT53"/>
      <c r="LU53"/>
      <c r="LV53"/>
      <c r="LW53"/>
      <c r="LX53"/>
      <c r="LY53"/>
      <c r="LZ53"/>
      <c r="MA53"/>
      <c r="MB53"/>
      <c r="MC53"/>
      <c r="MD53"/>
      <c r="ME53"/>
      <c r="MF53"/>
      <c r="MG53" s="225"/>
      <c r="MH53" s="225"/>
      <c r="MI53" s="225"/>
      <c r="MJ53" s="225"/>
      <c r="MK53" s="225"/>
      <c r="ML53" s="225"/>
      <c r="MM53" s="225"/>
      <c r="MN53" s="225"/>
      <c r="MO53" s="225"/>
      <c r="MP53" s="225"/>
      <c r="MQ53" s="225"/>
      <c r="MR53" s="225"/>
      <c r="MS53" s="225"/>
      <c r="MT53" s="225"/>
      <c r="MU53" s="225"/>
      <c r="MV53" s="225"/>
      <c r="MW53" s="225"/>
      <c r="MX53" s="225"/>
      <c r="MY53" s="225"/>
      <c r="MZ53" s="225"/>
      <c r="NA53" s="225"/>
      <c r="NB53" s="225"/>
      <c r="NC53" s="225"/>
      <c r="ND53" s="225"/>
      <c r="NE53" s="225"/>
      <c r="NF53" s="225"/>
      <c r="NG53" s="225"/>
      <c r="NH53" s="225"/>
      <c r="NI53" s="225"/>
      <c r="NJ53" s="225"/>
      <c r="NK53" s="223"/>
      <c r="NL53" s="223"/>
      <c r="NM53" s="223"/>
      <c r="NN53" s="223"/>
      <c r="NO53" s="223"/>
      <c r="NP53" s="223"/>
      <c r="NQ53" s="225"/>
      <c r="NR53" s="225"/>
      <c r="NS53" s="225"/>
      <c r="NT53" s="225"/>
      <c r="NU53" s="225"/>
      <c r="NV53" s="225"/>
      <c r="NW53" s="225"/>
      <c r="NX53" s="225"/>
      <c r="NY53" s="225"/>
      <c r="NZ53" s="225"/>
      <c r="OA53" s="225"/>
      <c r="OB53" s="225"/>
      <c r="OC53" s="225"/>
      <c r="OD53" s="225"/>
      <c r="OE53" s="225"/>
      <c r="OF53" s="225"/>
      <c r="OG53" s="225"/>
      <c r="OH53" s="225"/>
      <c r="OI53" s="225"/>
      <c r="OJ53" s="225"/>
      <c r="OK53" s="225"/>
      <c r="OL53" s="225"/>
      <c r="OM53" s="225"/>
      <c r="ON53" s="225"/>
      <c r="OO53" s="225"/>
      <c r="OP53" s="225"/>
      <c r="OQ53" s="225"/>
      <c r="OR53" s="225"/>
      <c r="OS53" s="225"/>
      <c r="OT53" s="225"/>
      <c r="OU53" s="225"/>
      <c r="OV53" s="225"/>
      <c r="OW53" s="225"/>
      <c r="OX53" s="225"/>
      <c r="OY53" s="225"/>
      <c r="OZ53" s="225"/>
      <c r="PA53" s="225"/>
      <c r="PB53" s="225"/>
      <c r="PC53" s="225"/>
      <c r="PD53" s="225"/>
      <c r="PE53" s="225"/>
      <c r="PF53" s="225"/>
      <c r="PG53" s="225"/>
      <c r="PH53" s="225"/>
      <c r="PI53" s="225"/>
      <c r="PJ53" s="225"/>
      <c r="PK53" s="225"/>
      <c r="PL53" s="225"/>
      <c r="PM53" s="225"/>
      <c r="PN53" s="225"/>
      <c r="PO53" s="225"/>
      <c r="PP53" s="225"/>
      <c r="PQ53" s="225"/>
      <c r="PR53" s="225"/>
      <c r="PS53" s="225"/>
      <c r="PT53" s="225"/>
      <c r="PU53" s="225"/>
      <c r="PV53" s="225"/>
      <c r="PW53" s="225"/>
      <c r="PX53" s="225"/>
      <c r="PY53" s="225"/>
      <c r="PZ53" s="225"/>
      <c r="QA53" s="225"/>
      <c r="QB53" s="225"/>
      <c r="QC53" s="225"/>
      <c r="QD53" s="225"/>
      <c r="QE53" s="225"/>
      <c r="QF53" s="225"/>
      <c r="QG53" s="225"/>
      <c r="QH53" s="225"/>
      <c r="QI53" s="225"/>
      <c r="QJ53" s="225"/>
      <c r="QK53" s="225"/>
      <c r="QL53" s="225"/>
      <c r="QM53" s="225"/>
      <c r="QN53" s="225"/>
      <c r="QO53" s="225"/>
      <c r="QP53" s="225"/>
      <c r="QQ53" s="225"/>
      <c r="QR53" s="225"/>
      <c r="QS53" s="223"/>
      <c r="QT53" s="223"/>
      <c r="QU53" s="223"/>
      <c r="QV53" s="223"/>
      <c r="QW53" s="223"/>
      <c r="QX53" s="223"/>
      <c r="QY53" s="223"/>
      <c r="QZ53" s="223"/>
      <c r="RA53" s="223"/>
      <c r="RB53" s="223"/>
      <c r="RC53" s="223"/>
      <c r="RD53" s="223"/>
      <c r="RE53" s="223"/>
      <c r="RF53" s="223"/>
      <c r="RG53" s="223"/>
      <c r="RH53" s="223"/>
      <c r="RI53" s="223"/>
      <c r="RJ53" s="223"/>
      <c r="RK53" s="223"/>
      <c r="RL53" s="223"/>
      <c r="RM53" s="223"/>
      <c r="RN53" s="223"/>
      <c r="RO53" s="223"/>
      <c r="RP53" s="223"/>
      <c r="RQ53" s="223"/>
      <c r="RR53" s="223"/>
      <c r="RS53" s="223"/>
      <c r="RT53" s="223"/>
      <c r="RU53" s="223"/>
      <c r="RV53" s="223"/>
      <c r="RW53" s="223"/>
      <c r="RX53" s="223"/>
      <c r="RY53" s="223"/>
      <c r="RZ53" s="223"/>
      <c r="SA53" s="223"/>
      <c r="SB53" s="223"/>
      <c r="SC53" s="223"/>
      <c r="SD53" s="223"/>
      <c r="SE53" s="223"/>
      <c r="SF53" s="223"/>
      <c r="SG53" s="223"/>
      <c r="SH53" s="223"/>
      <c r="SI53" s="223"/>
      <c r="SJ53" s="223"/>
      <c r="SK53" s="223"/>
      <c r="SL53" s="223"/>
      <c r="SM53" s="223"/>
      <c r="SN53" s="223"/>
      <c r="SO53" s="223"/>
      <c r="SP53" s="223"/>
      <c r="SQ53" s="223"/>
      <c r="SR53" s="223"/>
      <c r="SS53" s="223"/>
      <c r="ST53" s="223"/>
      <c r="SU53" s="223"/>
      <c r="SV53" s="223"/>
      <c r="SW53" s="223"/>
      <c r="SX53" s="223"/>
      <c r="SY53" s="223"/>
      <c r="SZ53" s="223"/>
      <c r="TA53" s="223"/>
      <c r="TB53" s="223"/>
      <c r="TC53" s="223"/>
      <c r="TD53" s="223"/>
      <c r="TE53" s="223"/>
      <c r="TF53" s="223"/>
      <c r="TG53" s="223"/>
      <c r="TH53" s="223"/>
      <c r="TI53" s="223"/>
      <c r="TJ53" s="223"/>
      <c r="TK53" s="223"/>
      <c r="TL53" s="223"/>
      <c r="TM53" s="223"/>
      <c r="TN53" s="223"/>
      <c r="TO53" s="223"/>
      <c r="TP53" s="223"/>
      <c r="TQ53" s="223"/>
      <c r="TR53" s="223"/>
      <c r="TS53" s="223"/>
      <c r="TT53" s="223"/>
      <c r="TU53" s="223"/>
      <c r="TV53" s="223"/>
      <c r="TW53" s="223"/>
      <c r="TX53" s="223"/>
      <c r="TY53" s="223"/>
      <c r="TZ53" s="223"/>
      <c r="UA53" s="223"/>
      <c r="UB53" s="223"/>
      <c r="UC53" s="223"/>
      <c r="UD53" s="223"/>
      <c r="UE53" s="223"/>
      <c r="UF53" s="223"/>
      <c r="UG53" s="223"/>
      <c r="UH53" s="223"/>
      <c r="UI53" s="223"/>
      <c r="UJ53" s="223"/>
      <c r="UK53" s="223"/>
      <c r="UL53" s="223"/>
      <c r="UM53" s="223"/>
      <c r="UN53" s="223"/>
      <c r="UO53" s="223"/>
      <c r="UP53" s="223"/>
      <c r="UQ53" s="223"/>
      <c r="UR53" s="223"/>
      <c r="US53" s="223"/>
      <c r="UT53" s="223"/>
      <c r="UU53" s="223"/>
      <c r="UV53" s="223"/>
      <c r="UW53" s="223"/>
      <c r="UX53" s="223"/>
      <c r="UY53" s="223"/>
      <c r="UZ53" s="223"/>
      <c r="VA53" s="223"/>
      <c r="VB53" s="223"/>
      <c r="VC53" s="223"/>
      <c r="VD53" s="223"/>
      <c r="VE53" s="223"/>
      <c r="VF53" s="223"/>
      <c r="VG53" s="223"/>
      <c r="VH53" s="223"/>
      <c r="VI53" s="223"/>
      <c r="VJ53" s="223"/>
      <c r="VK53" s="223"/>
      <c r="VL53" s="223"/>
      <c r="VM53" s="223"/>
      <c r="VN53" s="223"/>
      <c r="VO53" s="223"/>
      <c r="VP53" s="223"/>
      <c r="VQ53" s="223"/>
      <c r="VR53" s="223"/>
      <c r="VS53" s="223"/>
      <c r="VT53" s="223"/>
      <c r="VU53" s="223"/>
      <c r="VV53" s="223"/>
      <c r="VW53" s="223"/>
      <c r="VX53" s="223"/>
      <c r="VY53" s="223"/>
      <c r="VZ53" s="223"/>
      <c r="WA53" s="223"/>
      <c r="WB53" s="223"/>
      <c r="WC53" s="223"/>
      <c r="WD53" s="223"/>
      <c r="WE53" s="223"/>
      <c r="WF53" s="223"/>
      <c r="WG53" s="223"/>
      <c r="WH53" s="223"/>
      <c r="WI53" s="223"/>
      <c r="WJ53" s="223"/>
      <c r="WK53" s="223"/>
      <c r="WL53" s="223"/>
      <c r="WM53" s="223"/>
      <c r="WN53" s="223"/>
    </row>
    <row r="54" spans="1:612" s="934" customFormat="1" x14ac:dyDescent="0.25">
      <c r="A54" s="1070" t="s">
        <v>133</v>
      </c>
      <c r="B54" s="930">
        <f>CS54+DA54+DQ54+HK54+HQ54+IQ54+JK54+'Проверочная  таблица'!KO54+'Прочая  субсидия_МР  и  ГО'!B43+BU54+CE54+AK54+AW54+DI54</f>
        <v>1059580063.1600001</v>
      </c>
      <c r="C54" s="930">
        <f>CT54+DB54+DX54+HN54+HT54+JA54+JP54+'Проверочная  таблица'!KS54+'Прочая  субсидия_МР  и  ГО'!C43+BZ54+CJ54+BA54+AQ54+DM54</f>
        <v>585972358.92000008</v>
      </c>
      <c r="D54" s="1052">
        <f t="shared" ref="D54:E60" si="641">B54/1000</f>
        <v>1059580.0631600001</v>
      </c>
      <c r="E54" s="1052">
        <f t="shared" si="641"/>
        <v>585972.35892000003</v>
      </c>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849">
        <f t="shared" si="635"/>
        <v>0</v>
      </c>
      <c r="AL54" s="936">
        <f>AL30</f>
        <v>0</v>
      </c>
      <c r="AM54" s="223"/>
      <c r="AN54" s="223"/>
      <c r="AO54" s="936">
        <f>AO30</f>
        <v>0</v>
      </c>
      <c r="AP54" s="936"/>
      <c r="AQ54" s="849">
        <f t="shared" si="636"/>
        <v>0</v>
      </c>
      <c r="AR54" s="936">
        <f>AR30</f>
        <v>0</v>
      </c>
      <c r="AS54" s="223"/>
      <c r="AT54" s="223"/>
      <c r="AU54" s="936">
        <f t="shared" ref="AU54" si="642">AU30</f>
        <v>0</v>
      </c>
      <c r="AV54" s="936"/>
      <c r="AW54" s="849">
        <f t="shared" si="638"/>
        <v>0</v>
      </c>
      <c r="AX54" s="936"/>
      <c r="AY54" s="223"/>
      <c r="AZ54" s="936"/>
      <c r="BA54" s="849">
        <f t="shared" si="640"/>
        <v>0</v>
      </c>
      <c r="BB54" s="936"/>
      <c r="BC54" s="223"/>
      <c r="BD54" s="936"/>
      <c r="BE54" s="223"/>
      <c r="BF54" s="223"/>
      <c r="BG54" s="223"/>
      <c r="BH54" s="223"/>
      <c r="BI54" s="223"/>
      <c r="BJ54" s="223"/>
      <c r="BK54" s="223"/>
      <c r="BL54" s="223"/>
      <c r="BM54" s="223"/>
      <c r="BN54" s="223"/>
      <c r="BO54" s="223"/>
      <c r="BP54" s="223"/>
      <c r="BQ54" s="223"/>
      <c r="BR54" s="223"/>
      <c r="BS54" s="223"/>
      <c r="BT54" s="223"/>
      <c r="BU54" s="225">
        <f>BV30</f>
        <v>77261913.650000006</v>
      </c>
      <c r="BV54" s="223"/>
      <c r="BW54" s="223"/>
      <c r="BX54" s="223"/>
      <c r="BY54"/>
      <c r="BZ54" s="225">
        <f>CA30</f>
        <v>24202552.34</v>
      </c>
      <c r="CA54" s="223"/>
      <c r="CB54" s="223"/>
      <c r="CC54" s="223"/>
      <c r="CD54"/>
      <c r="CE54" s="225"/>
      <c r="CF54" s="223"/>
      <c r="CG54" s="223"/>
      <c r="CH54" s="223"/>
      <c r="CI54"/>
      <c r="CJ54" s="225"/>
      <c r="CK54" s="223"/>
      <c r="CL54" s="223"/>
      <c r="CM54" s="223"/>
      <c r="CN54"/>
      <c r="CO54" s="223"/>
      <c r="CP54" s="223"/>
      <c r="CQ54" s="223"/>
      <c r="CR54" s="223"/>
      <c r="CS54" s="225">
        <f>CS30</f>
        <v>20808169.59</v>
      </c>
      <c r="CT54" s="225">
        <f>CT30</f>
        <v>8191471.8899999997</v>
      </c>
      <c r="CU54" s="223"/>
      <c r="CV54" s="223"/>
      <c r="CW54" s="223"/>
      <c r="CX54" s="223"/>
      <c r="CY54" s="223"/>
      <c r="CZ54" s="223"/>
      <c r="DA54" s="225">
        <f>DA30</f>
        <v>2556553.94</v>
      </c>
      <c r="DB54" s="225">
        <f>DB30</f>
        <v>917966.61</v>
      </c>
      <c r="DC54" s="223"/>
      <c r="DD54" s="223"/>
      <c r="DE54" s="223"/>
      <c r="DF54" s="223"/>
      <c r="DG54" s="223"/>
      <c r="DH54" s="223"/>
      <c r="DI54" s="849">
        <f>DI30</f>
        <v>354973518.56999999</v>
      </c>
      <c r="DJ54" s="849"/>
      <c r="DK54" s="1137"/>
      <c r="DL54" s="1137"/>
      <c r="DM54" s="849">
        <f>DM30</f>
        <v>170204232.49000001</v>
      </c>
      <c r="DN54" s="849"/>
      <c r="DO54" s="1137"/>
      <c r="DP54" s="1137"/>
      <c r="DQ54" s="225">
        <f>DQ30</f>
        <v>15271044.439999999</v>
      </c>
      <c r="DR54" s="223"/>
      <c r="DS54" s="223"/>
      <c r="DT54" s="223"/>
      <c r="DU54" s="223"/>
      <c r="DV54" s="223"/>
      <c r="DW54" s="223"/>
      <c r="DX54" s="225">
        <f>DX30</f>
        <v>8812160.0799999982</v>
      </c>
      <c r="DY54" s="223"/>
      <c r="DZ54" s="223"/>
      <c r="EA54" s="223"/>
      <c r="EB54" s="223"/>
      <c r="EC54" s="223"/>
      <c r="ED54" s="223"/>
      <c r="EE54" s="223"/>
      <c r="EF54" s="223"/>
      <c r="EG54" s="223"/>
      <c r="EH54" s="223"/>
      <c r="EI54" s="223"/>
      <c r="EJ54" s="223"/>
      <c r="EK54" s="223"/>
      <c r="EL54" s="223"/>
      <c r="EM54" s="223"/>
      <c r="EN54" s="223"/>
      <c r="EO54" s="223"/>
      <c r="EP54" s="223"/>
      <c r="EQ54" s="223"/>
      <c r="ER54" s="223"/>
      <c r="ES54" s="223"/>
      <c r="ET54" s="223"/>
      <c r="EU54" s="223"/>
      <c r="EV54" s="223"/>
      <c r="EW54" s="223"/>
      <c r="EX54" s="223"/>
      <c r="EY54" s="223"/>
      <c r="EZ54" s="223"/>
      <c r="FA54" s="223"/>
      <c r="FB54" s="223"/>
      <c r="FC54" s="223"/>
      <c r="FD54" s="223"/>
      <c r="FE54" s="223"/>
      <c r="FF54" s="223"/>
      <c r="FG54" s="223"/>
      <c r="FH54" s="223"/>
      <c r="FI54" s="223"/>
      <c r="FJ54" s="223"/>
      <c r="FK54" s="223"/>
      <c r="FL54" s="223"/>
      <c r="FM54" s="223"/>
      <c r="FN54" s="223"/>
      <c r="FO54" s="223"/>
      <c r="FP54" s="223"/>
      <c r="FQ54" s="223"/>
      <c r="FR54" s="223"/>
      <c r="FS54" s="223"/>
      <c r="FT54" s="223"/>
      <c r="FU54" s="223"/>
      <c r="FV54" s="223"/>
      <c r="FW54" s="223"/>
      <c r="FX54" s="223"/>
      <c r="FY54" s="223"/>
      <c r="FZ54" s="223"/>
      <c r="GA54" s="223"/>
      <c r="GB54" s="223"/>
      <c r="GC54" s="223"/>
      <c r="GD54" s="223"/>
      <c r="GE54" s="223"/>
      <c r="GF54" s="223"/>
      <c r="GG54" s="223"/>
      <c r="GH54" s="223"/>
      <c r="GI54" s="223"/>
      <c r="GJ54" s="223"/>
      <c r="GK54" s="223"/>
      <c r="GL54" s="223"/>
      <c r="GM54" s="223"/>
      <c r="GN54" s="223"/>
      <c r="GO54" s="223"/>
      <c r="GP54" s="223"/>
      <c r="GQ54" s="223"/>
      <c r="GR54" s="223"/>
      <c r="GS54" s="223"/>
      <c r="GT54" s="223"/>
      <c r="GU54" s="223"/>
      <c r="GV54" s="223"/>
      <c r="GW54" s="223"/>
      <c r="GX54" s="223"/>
      <c r="GY54" s="223"/>
      <c r="GZ54" s="223"/>
      <c r="HA54" s="223"/>
      <c r="HB54" s="223"/>
      <c r="HC54" s="223"/>
      <c r="HD54" s="223"/>
      <c r="HE54" s="223"/>
      <c r="HF54" s="223"/>
      <c r="HG54" s="223"/>
      <c r="HH54" s="223"/>
      <c r="HI54" s="223"/>
      <c r="HJ54" s="223"/>
      <c r="HK54" s="225">
        <f>HK30</f>
        <v>0</v>
      </c>
      <c r="HL54" s="223"/>
      <c r="HM54" s="223"/>
      <c r="HN54" s="225">
        <f>HN30</f>
        <v>0</v>
      </c>
      <c r="HO54" s="223"/>
      <c r="HP54" s="223"/>
      <c r="HQ54" s="225">
        <f>HQ30</f>
        <v>7632620.7599999998</v>
      </c>
      <c r="HR54" s="225"/>
      <c r="HS54" s="225"/>
      <c r="HT54" s="225">
        <f>HT30</f>
        <v>6711457.6600000001</v>
      </c>
      <c r="HU54" s="225"/>
      <c r="HV54" s="225"/>
      <c r="HW54" s="223"/>
      <c r="HX54" s="223"/>
      <c r="HY54" s="223"/>
      <c r="HZ54" s="223"/>
      <c r="IA54" s="223"/>
      <c r="IB54" s="223"/>
      <c r="IC54" s="223"/>
      <c r="ID54" s="223"/>
      <c r="IQ54" s="935">
        <f>SUM(IT54:IZ54)</f>
        <v>0</v>
      </c>
      <c r="IR54" s="935"/>
      <c r="IS54" s="935"/>
      <c r="IT54" s="223"/>
      <c r="IU54" s="223"/>
      <c r="IV54" s="223"/>
      <c r="IW54" s="223"/>
      <c r="IX54" s="223"/>
      <c r="IY54" s="223"/>
      <c r="IZ54" s="223"/>
      <c r="JA54" s="935">
        <f>SUM(JD54:JJ54)</f>
        <v>0</v>
      </c>
      <c r="JB54" s="935"/>
      <c r="JC54" s="935"/>
      <c r="JD54" s="223"/>
      <c r="JE54" s="223"/>
      <c r="JF54" s="223"/>
      <c r="JG54" s="223"/>
      <c r="JH54" s="223"/>
      <c r="JI54" s="223"/>
      <c r="JJ54" s="223"/>
      <c r="JK54" s="935">
        <f>SUM(JN54:JO54)</f>
        <v>0</v>
      </c>
      <c r="JL54" s="935"/>
      <c r="JM54" s="935"/>
      <c r="JN54" s="223"/>
      <c r="JO54" s="223"/>
      <c r="JP54" s="935">
        <f>SUM(JS54:JT54)</f>
        <v>0</v>
      </c>
      <c r="JQ54" s="935"/>
      <c r="JR54" s="935"/>
      <c r="JS54" s="223"/>
      <c r="JT54" s="223"/>
      <c r="JU54" s="221"/>
      <c r="JV54" s="1412"/>
      <c r="JW54" s="1412"/>
      <c r="JX54" s="221"/>
      <c r="JY54" s="221"/>
      <c r="JZ54" s="221"/>
      <c r="KA54" s="1412"/>
      <c r="KB54" s="1412"/>
      <c r="KC54" s="221"/>
      <c r="KD54" s="221"/>
      <c r="KE54" s="221"/>
      <c r="KF54" s="1412"/>
      <c r="KG54" s="1412"/>
      <c r="KH54" s="221"/>
      <c r="KI54" s="221"/>
      <c r="KJ54" s="221"/>
      <c r="KK54" s="1412"/>
      <c r="KL54" s="1412"/>
      <c r="KM54" s="221"/>
      <c r="KN54" s="221"/>
      <c r="KO54" s="225">
        <f>KO30</f>
        <v>342198600</v>
      </c>
      <c r="KP54" s="225"/>
      <c r="KQ54" s="225"/>
      <c r="KR54" s="225"/>
      <c r="KS54" s="225">
        <f>KS30</f>
        <v>218179050.84</v>
      </c>
      <c r="KT54" s="225"/>
      <c r="KU54"/>
      <c r="KV54"/>
      <c r="KW54"/>
      <c r="KX54"/>
      <c r="KY54"/>
      <c r="KZ54"/>
      <c r="LA54"/>
      <c r="LB54"/>
      <c r="LC54"/>
      <c r="LD54"/>
      <c r="LE54"/>
      <c r="LF54"/>
      <c r="LG54"/>
      <c r="LH54"/>
      <c r="LI54"/>
      <c r="LJ54"/>
      <c r="LK54"/>
      <c r="LL54"/>
      <c r="LM54"/>
      <c r="LN54"/>
      <c r="LO54"/>
      <c r="LP54" s="1535"/>
      <c r="LQ54"/>
      <c r="LR54"/>
      <c r="LS54"/>
      <c r="LT54"/>
      <c r="LU54"/>
      <c r="LV54"/>
      <c r="LW54"/>
      <c r="LX54"/>
      <c r="LY54"/>
      <c r="LZ54"/>
      <c r="MA54"/>
      <c r="MB54"/>
      <c r="MC54"/>
      <c r="MD54"/>
      <c r="ME54"/>
      <c r="MF54"/>
      <c r="MG54" s="223"/>
      <c r="MH54" s="223"/>
      <c r="MI54" s="223"/>
      <c r="MJ54" s="223"/>
      <c r="MK54" s="223"/>
      <c r="ML54" s="223"/>
      <c r="MM54" s="223"/>
      <c r="MN54" s="223"/>
      <c r="MO54" s="223"/>
      <c r="MP54" s="223"/>
      <c r="MQ54" s="223"/>
      <c r="MR54" s="223"/>
      <c r="MS54" s="223"/>
      <c r="MT54" s="223"/>
      <c r="MU54" s="223"/>
      <c r="MV54" s="223"/>
      <c r="MW54" s="223"/>
      <c r="MX54" s="223"/>
      <c r="MY54" s="223"/>
      <c r="MZ54" s="223"/>
      <c r="NA54" s="223"/>
      <c r="NB54" s="223"/>
      <c r="NC54" s="223"/>
      <c r="ND54" s="223"/>
      <c r="NE54" s="223"/>
      <c r="NF54" s="223"/>
      <c r="NG54" s="223"/>
      <c r="NH54" s="223"/>
      <c r="NI54" s="223"/>
      <c r="NJ54" s="223"/>
      <c r="NK54" s="223"/>
      <c r="NL54" s="223"/>
      <c r="NM54" s="223"/>
      <c r="NN54" s="223"/>
      <c r="NO54" s="223"/>
      <c r="NP54" s="223"/>
      <c r="NQ54" s="223"/>
      <c r="NR54" s="223"/>
      <c r="NS54" s="223"/>
      <c r="NT54" s="223"/>
      <c r="NU54" s="223"/>
      <c r="NV54" s="223"/>
      <c r="NW54" s="223"/>
      <c r="NX54" s="223"/>
      <c r="NY54" s="223"/>
      <c r="NZ54" s="223"/>
      <c r="OA54" s="223"/>
      <c r="OB54" s="223"/>
      <c r="OC54" s="223"/>
      <c r="OD54" s="223"/>
      <c r="OE54" s="223"/>
      <c r="OF54" s="223"/>
      <c r="OG54" s="223"/>
      <c r="OH54" s="223"/>
      <c r="OI54" s="223"/>
      <c r="OJ54" s="223"/>
      <c r="OK54" s="223"/>
      <c r="OL54" s="223"/>
      <c r="OM54" s="223"/>
      <c r="ON54" s="223"/>
      <c r="OO54" s="223"/>
      <c r="OP54" s="223"/>
      <c r="OQ54" s="223"/>
      <c r="OR54" s="223"/>
      <c r="OS54" s="223"/>
      <c r="OT54" s="223"/>
      <c r="OU54" s="223"/>
      <c r="OV54" s="223"/>
      <c r="OW54" s="223"/>
      <c r="OX54" s="223"/>
      <c r="OY54" s="223"/>
      <c r="OZ54" s="223"/>
      <c r="PA54" s="223"/>
      <c r="PB54" s="223"/>
      <c r="PC54" s="223"/>
      <c r="PD54" s="223"/>
      <c r="PE54" s="223"/>
      <c r="PF54" s="223"/>
      <c r="PG54" s="223"/>
      <c r="PH54" s="223"/>
      <c r="PI54" s="223"/>
      <c r="PJ54" s="223"/>
      <c r="PK54" s="223"/>
      <c r="PL54" s="223"/>
      <c r="PM54" s="223"/>
      <c r="PN54" s="223"/>
      <c r="PO54" s="223"/>
      <c r="PP54" s="223"/>
      <c r="PQ54" s="223"/>
      <c r="PR54" s="223"/>
      <c r="PS54" s="223"/>
      <c r="PT54" s="223"/>
      <c r="PU54" s="223"/>
      <c r="PV54" s="223"/>
      <c r="PW54" s="223"/>
      <c r="PX54" s="223"/>
      <c r="PY54" s="223"/>
      <c r="PZ54" s="223"/>
      <c r="QA54" s="223"/>
      <c r="QB54" s="223"/>
      <c r="QC54" s="223"/>
      <c r="QD54" s="223"/>
      <c r="QE54" s="223"/>
      <c r="QF54" s="223"/>
      <c r="QG54" s="223"/>
      <c r="QH54" s="223"/>
      <c r="QI54" s="223"/>
      <c r="QJ54" s="223"/>
      <c r="QK54" s="223"/>
      <c r="QL54" s="223"/>
      <c r="QM54" s="223"/>
      <c r="QN54" s="223"/>
      <c r="QO54" s="223"/>
      <c r="QP54" s="223"/>
      <c r="QQ54" s="223"/>
      <c r="QR54" s="223"/>
      <c r="QS54" s="223"/>
      <c r="QT54" s="223"/>
      <c r="QU54" s="223"/>
      <c r="QV54" s="223"/>
      <c r="QW54" s="223"/>
      <c r="QX54" s="223"/>
      <c r="QY54" s="223"/>
      <c r="QZ54" s="223"/>
      <c r="RA54" s="223"/>
      <c r="RB54" s="223"/>
      <c r="RC54" s="223"/>
      <c r="RD54" s="223"/>
      <c r="RE54" s="223"/>
      <c r="RF54" s="223"/>
      <c r="RG54" s="223"/>
      <c r="RH54" s="223"/>
      <c r="RI54" s="223"/>
      <c r="RJ54" s="223"/>
      <c r="RK54" s="223"/>
      <c r="RL54" s="223"/>
      <c r="RM54" s="223"/>
      <c r="RN54" s="223"/>
      <c r="RO54" s="223"/>
      <c r="RP54" s="223"/>
      <c r="RQ54" s="223"/>
      <c r="RR54" s="223"/>
      <c r="RS54" s="223"/>
      <c r="RT54" s="223"/>
      <c r="RU54" s="223"/>
      <c r="RV54" s="223"/>
      <c r="RW54" s="223"/>
      <c r="RX54" s="223"/>
      <c r="RY54" s="223"/>
      <c r="RZ54" s="223"/>
      <c r="SA54" s="223"/>
      <c r="SB54" s="223"/>
      <c r="SC54" s="223"/>
      <c r="SD54" s="223"/>
      <c r="SE54" s="223"/>
      <c r="SF54" s="223"/>
      <c r="SG54" s="223"/>
      <c r="SH54" s="223"/>
      <c r="SI54" s="223"/>
      <c r="SJ54" s="223"/>
      <c r="SK54" s="223"/>
      <c r="SL54" s="223"/>
      <c r="SM54" s="223"/>
      <c r="SN54" s="223"/>
      <c r="SO54" s="223"/>
      <c r="SP54" s="223"/>
      <c r="SQ54" s="223"/>
      <c r="SR54" s="223"/>
      <c r="SS54" s="223"/>
      <c r="ST54" s="223"/>
      <c r="SU54" s="223"/>
      <c r="SV54" s="223"/>
      <c r="SW54" s="223"/>
      <c r="SX54" s="223"/>
      <c r="SY54" s="223"/>
      <c r="SZ54" s="223"/>
      <c r="TA54" s="223"/>
      <c r="TB54" s="223"/>
      <c r="TC54" s="223"/>
      <c r="TD54" s="223"/>
      <c r="TE54" s="223"/>
      <c r="TF54" s="223"/>
      <c r="TG54" s="223"/>
      <c r="TH54" s="223"/>
      <c r="TI54" s="223"/>
      <c r="TJ54" s="223"/>
      <c r="TK54" s="223"/>
      <c r="TL54" s="223"/>
      <c r="TM54" s="223"/>
      <c r="TN54" s="223"/>
      <c r="TO54" s="223"/>
      <c r="TP54" s="223"/>
      <c r="TQ54" s="223"/>
      <c r="TR54" s="223"/>
      <c r="TS54" s="223"/>
      <c r="TT54" s="223"/>
      <c r="TU54" s="223"/>
      <c r="TV54" s="223"/>
      <c r="TW54" s="223"/>
      <c r="TX54" s="223"/>
      <c r="TY54" s="223"/>
      <c r="TZ54" s="223"/>
      <c r="UA54" s="223"/>
      <c r="UB54" s="223"/>
      <c r="UC54" s="223"/>
      <c r="UD54" s="223"/>
      <c r="UE54" s="223"/>
      <c r="UF54" s="223"/>
      <c r="UG54" s="223"/>
      <c r="UH54" s="223"/>
      <c r="UI54" s="223"/>
      <c r="UJ54" s="223"/>
      <c r="UK54" s="223"/>
      <c r="UL54" s="223"/>
      <c r="UM54" s="223"/>
      <c r="UN54" s="223"/>
      <c r="UO54" s="223"/>
      <c r="UP54" s="223"/>
      <c r="UQ54" s="223"/>
      <c r="UR54" s="223"/>
      <c r="US54" s="223"/>
      <c r="UT54" s="223"/>
      <c r="UU54" s="223"/>
      <c r="UV54" s="223"/>
      <c r="UW54" s="223"/>
      <c r="UX54" s="223"/>
      <c r="UY54" s="223"/>
      <c r="UZ54" s="223"/>
      <c r="VA54" s="223"/>
      <c r="VB54" s="223"/>
      <c r="VC54" s="223"/>
      <c r="VD54" s="223"/>
      <c r="VE54" s="223"/>
      <c r="VF54" s="223"/>
      <c r="VG54" s="223"/>
      <c r="VH54" s="223"/>
      <c r="VI54" s="223"/>
      <c r="VJ54" s="223"/>
      <c r="VK54" s="223"/>
      <c r="VL54" s="223"/>
      <c r="VM54" s="223"/>
      <c r="VN54" s="223"/>
      <c r="VO54" s="223"/>
      <c r="VP54" s="223"/>
      <c r="VQ54" s="223"/>
      <c r="VR54" s="223"/>
      <c r="VS54" s="223"/>
      <c r="VT54" s="223"/>
      <c r="VU54" s="223"/>
      <c r="VV54" s="223"/>
      <c r="VW54" s="223"/>
      <c r="VX54" s="223"/>
      <c r="VY54" s="223"/>
      <c r="VZ54" s="223"/>
      <c r="WA54" s="223"/>
      <c r="WB54" s="223"/>
      <c r="WC54" s="223"/>
      <c r="WD54" s="223"/>
      <c r="WE54" s="223"/>
      <c r="WF54" s="223"/>
      <c r="WG54" s="223"/>
      <c r="WH54" s="223"/>
      <c r="WI54" s="223"/>
      <c r="WJ54" s="223"/>
      <c r="WK54" s="223"/>
      <c r="WL54" s="223"/>
      <c r="WM54" s="223"/>
      <c r="WN54" s="223"/>
    </row>
    <row r="55" spans="1:612" s="934" customFormat="1" x14ac:dyDescent="0.25">
      <c r="A55" s="1070" t="s">
        <v>134</v>
      </c>
      <c r="B55" s="930">
        <f>CS55+DA55+DQ55+HK55+HQ55+IQ55+JK55+'Проверочная  таблица'!KO55+'Прочая  субсидия_МР  и  ГО'!B44+BU55+CE55+AK55+AW55+DI55</f>
        <v>954210488.82999992</v>
      </c>
      <c r="C55" s="930">
        <f>CT55+DB55+DX55+HN55+HT55+JA55+JP55+'Проверочная  таблица'!KS55+'Прочая  субсидия_МР  и  ГО'!C44+BZ55+CJ55+AQ55+BA55+DM55</f>
        <v>720021812.2299999</v>
      </c>
      <c r="D55" s="1052">
        <f t="shared" si="641"/>
        <v>954210.48882999993</v>
      </c>
      <c r="E55" s="1052">
        <f t="shared" si="641"/>
        <v>720021.81222999992</v>
      </c>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849">
        <f t="shared" si="635"/>
        <v>0</v>
      </c>
      <c r="AL55" s="936">
        <f>AL34</f>
        <v>0</v>
      </c>
      <c r="AM55" s="223"/>
      <c r="AN55" s="223"/>
      <c r="AO55" s="936">
        <f>AO34</f>
        <v>0</v>
      </c>
      <c r="AP55" s="936"/>
      <c r="AQ55" s="849">
        <f t="shared" si="636"/>
        <v>0</v>
      </c>
      <c r="AR55" s="936">
        <f>AR34</f>
        <v>0</v>
      </c>
      <c r="AS55" s="223"/>
      <c r="AT55" s="223"/>
      <c r="AU55" s="936">
        <f t="shared" ref="AU55" si="643">AU34</f>
        <v>0</v>
      </c>
      <c r="AV55" s="936"/>
      <c r="AW55" s="849">
        <f t="shared" si="638"/>
        <v>0</v>
      </c>
      <c r="AX55" s="936"/>
      <c r="AY55" s="223"/>
      <c r="AZ55" s="936"/>
      <c r="BA55" s="849">
        <f t="shared" si="640"/>
        <v>0</v>
      </c>
      <c r="BB55" s="936"/>
      <c r="BC55" s="223"/>
      <c r="BD55" s="936"/>
      <c r="BE55" s="223"/>
      <c r="BF55" s="223"/>
      <c r="BG55" s="223"/>
      <c r="BH55" s="223"/>
      <c r="BI55" s="223"/>
      <c r="BJ55" s="223"/>
      <c r="BK55" s="223"/>
      <c r="BL55" s="223"/>
      <c r="BM55" s="223"/>
      <c r="BN55" s="223"/>
      <c r="BO55" s="223"/>
      <c r="BP55" s="223"/>
      <c r="BQ55" s="223"/>
      <c r="BR55" s="223"/>
      <c r="BS55" s="223"/>
      <c r="BT55" s="223"/>
      <c r="BU55" s="225">
        <f>BV34</f>
        <v>136683086.20000002</v>
      </c>
      <c r="BV55" s="223"/>
      <c r="BW55" s="223"/>
      <c r="BX55" s="223"/>
      <c r="BY55" s="221"/>
      <c r="BZ55" s="225">
        <f>CA34</f>
        <v>66610549.280000001</v>
      </c>
      <c r="CA55" s="223"/>
      <c r="CB55" s="223"/>
      <c r="CC55" s="223"/>
      <c r="CD55" s="221"/>
      <c r="CE55" s="225"/>
      <c r="CF55" s="223"/>
      <c r="CG55" s="223"/>
      <c r="CH55" s="223"/>
      <c r="CI55" s="221"/>
      <c r="CJ55" s="225"/>
      <c r="CK55" s="223"/>
      <c r="CL55" s="223"/>
      <c r="CM55" s="223"/>
      <c r="CN55" s="221"/>
      <c r="CO55" s="223"/>
      <c r="CP55" s="223"/>
      <c r="CQ55" s="223"/>
      <c r="CR55" s="223"/>
      <c r="CS55" s="225">
        <f>CS34</f>
        <v>586293809.74999988</v>
      </c>
      <c r="CT55" s="225">
        <f>CT34</f>
        <v>472771167.60999995</v>
      </c>
      <c r="CU55" s="223"/>
      <c r="CV55" s="223"/>
      <c r="CW55" s="223"/>
      <c r="CX55" s="223"/>
      <c r="CY55" s="223"/>
      <c r="CZ55" s="223"/>
      <c r="DA55" s="225">
        <f>DA34</f>
        <v>72741276.260000005</v>
      </c>
      <c r="DB55" s="225">
        <f>DB34</f>
        <v>59153073.780000001</v>
      </c>
      <c r="DC55" s="223"/>
      <c r="DD55" s="223"/>
      <c r="DE55" s="223"/>
      <c r="DF55" s="223"/>
      <c r="DG55" s="223"/>
      <c r="DH55" s="223"/>
      <c r="DI55" s="849">
        <f>DI34</f>
        <v>0</v>
      </c>
      <c r="DJ55" s="849"/>
      <c r="DK55" s="1137"/>
      <c r="DL55" s="1137"/>
      <c r="DM55" s="849">
        <f>DM34</f>
        <v>0</v>
      </c>
      <c r="DN55" s="849"/>
      <c r="DO55" s="1137"/>
      <c r="DP55" s="1137"/>
      <c r="DQ55" s="225">
        <f>DQ34</f>
        <v>4488800</v>
      </c>
      <c r="DR55" s="223"/>
      <c r="DS55" s="223"/>
      <c r="DT55" s="223"/>
      <c r="DU55" s="223"/>
      <c r="DV55" s="223"/>
      <c r="DW55" s="223"/>
      <c r="DX55" s="225">
        <f>DX34</f>
        <v>4152862.76</v>
      </c>
      <c r="DY55" s="223"/>
      <c r="DZ55" s="223"/>
      <c r="EA55" s="223"/>
      <c r="EB55" s="223"/>
      <c r="EC55" s="223"/>
      <c r="ED55" s="223"/>
      <c r="EE55" s="223"/>
      <c r="EF55" s="223"/>
      <c r="EG55" s="223"/>
      <c r="EH55" s="223"/>
      <c r="EI55" s="223"/>
      <c r="EJ55" s="223"/>
      <c r="EK55" s="223"/>
      <c r="EL55" s="223"/>
      <c r="EM55" s="223"/>
      <c r="EN55" s="223"/>
      <c r="EO55" s="223"/>
      <c r="EP55" s="223"/>
      <c r="EQ55" s="223"/>
      <c r="ER55" s="223"/>
      <c r="ES55" s="223"/>
      <c r="ET55" s="223"/>
      <c r="EU55" s="223"/>
      <c r="EV55" s="223"/>
      <c r="EW55" s="223"/>
      <c r="EX55" s="223"/>
      <c r="EY55" s="223"/>
      <c r="EZ55" s="223"/>
      <c r="FA55" s="223"/>
      <c r="FB55" s="223"/>
      <c r="FC55" s="223"/>
      <c r="FD55" s="223"/>
      <c r="FE55" s="223"/>
      <c r="FF55" s="223"/>
      <c r="FG55" s="223"/>
      <c r="FH55" s="223"/>
      <c r="FI55" s="223"/>
      <c r="FJ55" s="223"/>
      <c r="FK55" s="223"/>
      <c r="FL55" s="223"/>
      <c r="FM55" s="223"/>
      <c r="FN55" s="223"/>
      <c r="FO55" s="223"/>
      <c r="FP55" s="223"/>
      <c r="FQ55" s="223"/>
      <c r="FR55" s="223"/>
      <c r="FS55" s="223"/>
      <c r="FT55" s="223"/>
      <c r="FU55" s="223"/>
      <c r="FV55" s="223"/>
      <c r="FW55" s="223"/>
      <c r="FX55" s="223"/>
      <c r="FY55" s="223"/>
      <c r="FZ55" s="223"/>
      <c r="GA55" s="223"/>
      <c r="GB55" s="223"/>
      <c r="GC55" s="223"/>
      <c r="GD55" s="223"/>
      <c r="GE55" s="223"/>
      <c r="GF55" s="223"/>
      <c r="GG55" s="223"/>
      <c r="GH55" s="223"/>
      <c r="GI55" s="223"/>
      <c r="GJ55" s="223"/>
      <c r="GK55" s="223"/>
      <c r="GL55" s="223"/>
      <c r="GM55" s="223"/>
      <c r="GN55" s="223"/>
      <c r="GO55" s="223"/>
      <c r="GP55" s="223"/>
      <c r="GQ55" s="223"/>
      <c r="GR55" s="223"/>
      <c r="GS55" s="223"/>
      <c r="GT55" s="223"/>
      <c r="GU55" s="223"/>
      <c r="GV55" s="223"/>
      <c r="GW55" s="223"/>
      <c r="GX55" s="223"/>
      <c r="GY55" s="223"/>
      <c r="GZ55" s="223"/>
      <c r="HA55" s="223"/>
      <c r="HB55" s="223"/>
      <c r="HC55" s="223"/>
      <c r="HD55" s="223"/>
      <c r="HE55" s="223"/>
      <c r="HF55" s="223"/>
      <c r="HG55" s="223"/>
      <c r="HH55" s="223"/>
      <c r="HI55" s="223"/>
      <c r="HJ55" s="223"/>
      <c r="HK55" s="225">
        <f>HK34</f>
        <v>3740139</v>
      </c>
      <c r="HL55" s="223"/>
      <c r="HM55" s="223"/>
      <c r="HN55" s="225">
        <f>HN34</f>
        <v>3740139</v>
      </c>
      <c r="HO55" s="223"/>
      <c r="HP55" s="223"/>
      <c r="HQ55" s="225">
        <f>HQ34</f>
        <v>0</v>
      </c>
      <c r="HR55" s="225"/>
      <c r="HS55" s="225"/>
      <c r="HT55" s="225">
        <f>HT34</f>
        <v>0</v>
      </c>
      <c r="HU55" s="225"/>
      <c r="HV55" s="225"/>
      <c r="HW55" s="223"/>
      <c r="HX55" s="223"/>
      <c r="HY55" s="223"/>
      <c r="HZ55" s="223"/>
      <c r="IA55" s="223"/>
      <c r="IB55" s="223"/>
      <c r="IC55" s="223"/>
      <c r="ID55" s="223"/>
      <c r="IQ55" s="935">
        <f>SUM(IT55:IZ55)</f>
        <v>0</v>
      </c>
      <c r="IR55" s="935"/>
      <c r="IS55" s="935"/>
      <c r="IT55" s="223"/>
      <c r="IU55" s="223"/>
      <c r="IV55" s="223"/>
      <c r="IW55" s="223"/>
      <c r="IX55" s="223"/>
      <c r="IY55" s="223"/>
      <c r="IZ55" s="223"/>
      <c r="JA55" s="935">
        <f>SUM(JD55:JJ55)</f>
        <v>0</v>
      </c>
      <c r="JB55" s="935"/>
      <c r="JC55" s="935"/>
      <c r="JD55" s="223"/>
      <c r="JE55" s="223"/>
      <c r="JF55" s="223"/>
      <c r="JG55" s="223"/>
      <c r="JH55" s="223"/>
      <c r="JI55" s="223"/>
      <c r="JJ55" s="223"/>
      <c r="JK55" s="935">
        <f>SUM(JN55:JO55)</f>
        <v>0</v>
      </c>
      <c r="JL55" s="935"/>
      <c r="JM55" s="935"/>
      <c r="JN55" s="223"/>
      <c r="JO55" s="223"/>
      <c r="JP55" s="935">
        <f>SUM(JS55:JT55)</f>
        <v>0</v>
      </c>
      <c r="JQ55" s="935"/>
      <c r="JR55" s="935"/>
      <c r="JS55" s="223"/>
      <c r="JT55" s="223"/>
      <c r="JU55" s="221"/>
      <c r="JV55" s="1412"/>
      <c r="JW55" s="1412"/>
      <c r="JX55" s="221"/>
      <c r="JY55" s="221"/>
      <c r="JZ55" s="221"/>
      <c r="KA55" s="1412"/>
      <c r="KB55" s="1412"/>
      <c r="KC55" s="221"/>
      <c r="KD55" s="221"/>
      <c r="KE55" s="221"/>
      <c r="KF55" s="1412"/>
      <c r="KG55" s="1412"/>
      <c r="KH55" s="221"/>
      <c r="KI55" s="221"/>
      <c r="KJ55" s="221"/>
      <c r="KK55" s="1412"/>
      <c r="KL55" s="1412"/>
      <c r="KM55" s="221"/>
      <c r="KN55" s="221"/>
      <c r="KO55" s="239">
        <f>KO34</f>
        <v>0</v>
      </c>
      <c r="KP55" s="239"/>
      <c r="KQ55" s="239"/>
      <c r="KR55" s="239"/>
      <c r="KS55" s="239">
        <f>KS34</f>
        <v>0</v>
      </c>
      <c r="KT55" s="239"/>
      <c r="KU55" s="221"/>
      <c r="KV55" s="1089"/>
      <c r="KW55" s="221"/>
      <c r="KX55" s="1095"/>
      <c r="KY55" s="221"/>
      <c r="KZ55" s="1095"/>
      <c r="LA55"/>
      <c r="LB55"/>
      <c r="LC55"/>
      <c r="LD55"/>
      <c r="LE55"/>
      <c r="LF55"/>
      <c r="LG55"/>
      <c r="LH55"/>
      <c r="LI55"/>
      <c r="LJ55"/>
      <c r="LK55"/>
      <c r="LL55"/>
      <c r="LM55"/>
      <c r="LN55"/>
      <c r="LO55"/>
      <c r="LP55" s="1535"/>
      <c r="LQ55"/>
      <c r="LR55"/>
      <c r="LS55"/>
      <c r="LT55"/>
      <c r="LU55"/>
      <c r="LV55"/>
      <c r="LW55"/>
      <c r="LX55"/>
      <c r="LY55"/>
      <c r="LZ55"/>
      <c r="MA55"/>
      <c r="MB55"/>
      <c r="MC55"/>
      <c r="MD55"/>
      <c r="ME55"/>
      <c r="MF55"/>
      <c r="MG55" s="223"/>
      <c r="MH55" s="223"/>
      <c r="MI55" s="223"/>
      <c r="MJ55" s="223"/>
      <c r="MK55" s="223"/>
      <c r="ML55" s="223"/>
      <c r="MM55" s="223"/>
      <c r="MN55" s="223"/>
      <c r="MO55" s="223"/>
      <c r="MP55" s="223"/>
      <c r="MQ55" s="223"/>
      <c r="MR55" s="223"/>
      <c r="MS55" s="223"/>
      <c r="MT55" s="223"/>
      <c r="MU55" s="223"/>
      <c r="MV55" s="223"/>
      <c r="MW55" s="223"/>
      <c r="MX55" s="223"/>
      <c r="MY55" s="223"/>
      <c r="MZ55" s="223"/>
      <c r="NA55" s="223"/>
      <c r="NB55" s="223"/>
      <c r="NC55" s="223"/>
      <c r="ND55" s="223"/>
      <c r="NE55" s="223"/>
      <c r="NF55" s="223"/>
      <c r="NG55" s="223"/>
      <c r="NH55" s="223"/>
      <c r="NI55" s="223"/>
      <c r="NJ55" s="223"/>
      <c r="NK55" s="223"/>
      <c r="NL55" s="223"/>
      <c r="NM55" s="223"/>
      <c r="NN55" s="223"/>
      <c r="NO55" s="223"/>
      <c r="NP55" s="223"/>
      <c r="NQ55" s="223"/>
      <c r="NR55" s="223"/>
      <c r="NS55" s="223"/>
      <c r="NT55" s="223"/>
      <c r="NU55" s="223"/>
      <c r="NV55" s="223"/>
      <c r="NW55" s="223"/>
      <c r="NX55" s="223"/>
      <c r="NY55" s="223"/>
      <c r="NZ55" s="223"/>
      <c r="OA55" s="223"/>
      <c r="OB55" s="223"/>
      <c r="OC55" s="223"/>
      <c r="OD55" s="223"/>
      <c r="OE55" s="223"/>
      <c r="OF55" s="223"/>
      <c r="OG55" s="223"/>
      <c r="OH55" s="223"/>
      <c r="OI55" s="223"/>
      <c r="OJ55" s="223"/>
      <c r="OK55" s="223"/>
      <c r="OL55" s="223"/>
      <c r="OM55" s="223"/>
      <c r="ON55" s="223"/>
      <c r="OO55" s="223"/>
      <c r="OP55" s="223"/>
      <c r="OQ55" s="223"/>
      <c r="OR55" s="223"/>
      <c r="OS55" s="223"/>
      <c r="OT55" s="223"/>
      <c r="OU55" s="223"/>
      <c r="OV55" s="223"/>
      <c r="OW55" s="223"/>
      <c r="OX55" s="223"/>
      <c r="OY55" s="223"/>
      <c r="OZ55" s="223"/>
      <c r="PA55" s="223"/>
      <c r="PB55" s="223"/>
      <c r="PC55" s="223"/>
      <c r="PD55" s="223"/>
      <c r="PE55" s="223"/>
      <c r="PF55" s="223"/>
      <c r="PG55" s="223"/>
      <c r="PH55" s="223"/>
      <c r="PI55" s="223"/>
      <c r="PJ55" s="223"/>
      <c r="PK55" s="223"/>
      <c r="PL55" s="223"/>
      <c r="PM55" s="223"/>
      <c r="PN55" s="223"/>
      <c r="PO55" s="223"/>
      <c r="PP55" s="223"/>
      <c r="PQ55" s="223"/>
      <c r="PR55" s="223"/>
      <c r="PS55" s="223"/>
      <c r="PT55" s="223"/>
      <c r="PU55" s="223"/>
      <c r="PV55" s="223"/>
      <c r="PW55" s="223"/>
      <c r="PX55" s="223"/>
      <c r="PY55" s="223"/>
      <c r="PZ55" s="223"/>
      <c r="QA55" s="223"/>
      <c r="QB55" s="223"/>
      <c r="QC55" s="223"/>
      <c r="QD55" s="223"/>
      <c r="QE55" s="223"/>
      <c r="QF55" s="223"/>
      <c r="QG55" s="223"/>
      <c r="QH55" s="223"/>
      <c r="QI55" s="223"/>
      <c r="QJ55" s="223"/>
      <c r="QK55" s="223"/>
      <c r="QL55" s="223"/>
      <c r="QM55" s="223"/>
      <c r="QN55" s="223"/>
      <c r="QO55" s="223"/>
      <c r="QP55" s="223"/>
      <c r="QQ55" s="223"/>
      <c r="QR55" s="223"/>
      <c r="QS55" s="223"/>
      <c r="QT55" s="223"/>
      <c r="QU55" s="223"/>
      <c r="QV55" s="223"/>
      <c r="QW55" s="223"/>
      <c r="QX55" s="223"/>
      <c r="QY55" s="223"/>
      <c r="QZ55" s="223"/>
      <c r="RA55" s="223"/>
      <c r="RB55" s="223"/>
      <c r="RC55" s="223"/>
      <c r="RD55" s="223"/>
      <c r="RE55" s="223"/>
      <c r="RF55" s="223"/>
      <c r="RG55" s="223"/>
      <c r="RH55" s="223"/>
      <c r="RI55" s="223"/>
      <c r="RJ55" s="223"/>
      <c r="RK55" s="223"/>
      <c r="RL55" s="223"/>
      <c r="RM55" s="223"/>
      <c r="RN55" s="223"/>
      <c r="RO55" s="223"/>
      <c r="RP55" s="223"/>
      <c r="RQ55" s="223"/>
      <c r="RR55" s="223"/>
      <c r="RS55" s="223"/>
      <c r="RT55" s="223"/>
      <c r="RU55" s="223"/>
      <c r="RV55" s="223"/>
      <c r="RW55" s="223"/>
      <c r="RX55" s="223"/>
      <c r="RY55" s="223"/>
      <c r="RZ55" s="223"/>
      <c r="SA55" s="223"/>
      <c r="SB55" s="223"/>
      <c r="SC55" s="223"/>
      <c r="SD55" s="223"/>
      <c r="SE55" s="223"/>
      <c r="SF55" s="223"/>
      <c r="SG55" s="223"/>
      <c r="SH55" s="223"/>
      <c r="SI55" s="223"/>
      <c r="SJ55" s="223"/>
      <c r="SK55" s="223"/>
      <c r="SL55" s="223"/>
      <c r="SM55" s="223"/>
      <c r="SN55" s="223"/>
      <c r="SO55" s="223"/>
      <c r="SP55" s="223"/>
      <c r="SQ55" s="223"/>
      <c r="SR55" s="223"/>
      <c r="SS55" s="223"/>
      <c r="ST55" s="223"/>
      <c r="SU55" s="223"/>
      <c r="SV55" s="223"/>
      <c r="SW55" s="223"/>
      <c r="SX55" s="223"/>
      <c r="SY55" s="223"/>
      <c r="SZ55" s="223"/>
      <c r="TA55" s="223"/>
      <c r="TB55" s="223"/>
      <c r="TC55" s="223"/>
      <c r="TD55" s="223"/>
      <c r="TE55" s="223"/>
      <c r="TF55" s="223"/>
      <c r="TG55" s="223"/>
      <c r="TH55" s="223"/>
      <c r="TI55" s="223"/>
      <c r="TJ55" s="223"/>
      <c r="TK55" s="223"/>
      <c r="TL55" s="223"/>
      <c r="TM55" s="223"/>
      <c r="TN55" s="223"/>
      <c r="TO55" s="223"/>
      <c r="TP55" s="223"/>
      <c r="TQ55" s="223"/>
      <c r="TR55" s="223"/>
      <c r="TS55" s="223"/>
      <c r="TT55" s="223"/>
      <c r="TU55" s="223"/>
      <c r="TV55" s="223"/>
      <c r="TW55" s="223"/>
      <c r="TX55" s="223"/>
      <c r="TY55" s="223"/>
      <c r="TZ55" s="223"/>
      <c r="UA55" s="223"/>
      <c r="UB55" s="223"/>
      <c r="UC55" s="223"/>
      <c r="UD55" s="223"/>
      <c r="UE55" s="223"/>
      <c r="UF55" s="223"/>
      <c r="UG55" s="223"/>
      <c r="UH55" s="223"/>
      <c r="UI55" s="223"/>
      <c r="UJ55" s="223"/>
      <c r="UK55" s="223"/>
      <c r="UL55" s="223"/>
      <c r="UM55" s="223"/>
      <c r="UN55" s="223"/>
      <c r="UO55" s="223"/>
      <c r="UP55" s="223"/>
      <c r="UQ55" s="223"/>
      <c r="UR55" s="223"/>
      <c r="US55" s="223"/>
      <c r="UT55" s="223"/>
      <c r="UU55" s="223"/>
      <c r="UV55" s="223"/>
      <c r="UW55" s="223"/>
      <c r="UX55" s="223"/>
      <c r="UY55" s="223"/>
      <c r="UZ55" s="223"/>
      <c r="VA55" s="223"/>
      <c r="VB55" s="223"/>
      <c r="VC55" s="223"/>
      <c r="VD55" s="223"/>
      <c r="VE55" s="223"/>
      <c r="VF55" s="223"/>
      <c r="VG55" s="223"/>
      <c r="VH55" s="223"/>
      <c r="VI55" s="223"/>
      <c r="VJ55" s="223"/>
      <c r="VK55" s="223"/>
      <c r="VL55" s="223"/>
      <c r="VM55" s="223"/>
      <c r="VN55" s="223"/>
      <c r="VO55" s="223"/>
      <c r="VP55" s="223"/>
      <c r="VQ55" s="223"/>
      <c r="VR55" s="223"/>
      <c r="VS55" s="223"/>
      <c r="VT55" s="223"/>
      <c r="VU55" s="223"/>
      <c r="VV55" s="223"/>
      <c r="VW55" s="223"/>
      <c r="VX55" s="223"/>
      <c r="VY55" s="223"/>
      <c r="VZ55" s="223"/>
      <c r="WA55" s="223"/>
      <c r="WB55" s="223"/>
      <c r="WC55" s="223"/>
      <c r="WD55" s="223"/>
      <c r="WE55" s="223"/>
      <c r="WF55" s="223"/>
      <c r="WG55" s="223"/>
      <c r="WH55" s="223"/>
      <c r="WI55" s="223"/>
      <c r="WJ55" s="223"/>
      <c r="WK55" s="223"/>
      <c r="WL55" s="223"/>
      <c r="WM55" s="223"/>
      <c r="WN55" s="223"/>
    </row>
    <row r="56" spans="1:612" s="934" customFormat="1" x14ac:dyDescent="0.25">
      <c r="A56" s="1070" t="s">
        <v>135</v>
      </c>
      <c r="B56" s="930">
        <f>CS56+DA56+DQ56+HK56+HQ56+IQ56+JK56+'Проверочная  таблица'!KO56+'Прочая  субсидия_МР  и  ГО'!B45+BU56+CE56+AW56+AK56</f>
        <v>228836318.06</v>
      </c>
      <c r="C56" s="930">
        <f>CT56+DB56+DX56+HN56+HT56+JA56+JP56+'Проверочная  таблица'!KS56+'Прочая  субсидия_МР  и  ГО'!C45+BZ56+CJ56+AQ56+BA56</f>
        <v>192178930.76000002</v>
      </c>
      <c r="D56" s="1052">
        <f t="shared" si="641"/>
        <v>228836.31805999999</v>
      </c>
      <c r="E56" s="1052">
        <f t="shared" si="641"/>
        <v>192178.93076000002</v>
      </c>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849">
        <f t="shared" si="635"/>
        <v>0</v>
      </c>
      <c r="AL56" s="936"/>
      <c r="AM56" s="223"/>
      <c r="AN56" s="223"/>
      <c r="AO56" s="936"/>
      <c r="AP56" s="936"/>
      <c r="AQ56" s="849">
        <f t="shared" si="636"/>
        <v>0</v>
      </c>
      <c r="AR56" s="936"/>
      <c r="AS56" s="223"/>
      <c r="AT56" s="223"/>
      <c r="AU56" s="936"/>
      <c r="AV56" s="936"/>
      <c r="AW56" s="849">
        <f t="shared" si="638"/>
        <v>0</v>
      </c>
      <c r="AX56" s="936">
        <f>AX37</f>
        <v>0</v>
      </c>
      <c r="AY56" s="223"/>
      <c r="AZ56" s="936">
        <f t="shared" ref="AZ56" si="644">AZ37</f>
        <v>0</v>
      </c>
      <c r="BA56" s="849">
        <f t="shared" si="640"/>
        <v>0</v>
      </c>
      <c r="BB56" s="936">
        <f>BB37</f>
        <v>0</v>
      </c>
      <c r="BC56" s="223"/>
      <c r="BD56" s="936">
        <f>BD37</f>
        <v>0</v>
      </c>
      <c r="BE56" s="223"/>
      <c r="BF56" s="223"/>
      <c r="BG56" s="223"/>
      <c r="BH56" s="223"/>
      <c r="BI56" s="223"/>
      <c r="BJ56" s="223"/>
      <c r="BK56" s="223"/>
      <c r="BL56" s="223"/>
      <c r="BM56" s="223"/>
      <c r="BN56" s="223"/>
      <c r="BO56" s="223"/>
      <c r="BP56" s="223"/>
      <c r="BQ56" s="223"/>
      <c r="BR56" s="223"/>
      <c r="BS56" s="223"/>
      <c r="BT56" s="223"/>
      <c r="BU56" s="225"/>
      <c r="BV56" s="223"/>
      <c r="BW56" s="223"/>
      <c r="BX56" s="223"/>
      <c r="BY56" s="221"/>
      <c r="BZ56" s="225"/>
      <c r="CA56" s="223"/>
      <c r="CB56" s="223"/>
      <c r="CC56" s="223"/>
      <c r="CD56" s="221"/>
      <c r="CE56" s="225">
        <f>CF37</f>
        <v>0</v>
      </c>
      <c r="CF56" s="223"/>
      <c r="CG56" s="223"/>
      <c r="CH56" s="223"/>
      <c r="CI56" s="221"/>
      <c r="CJ56" s="225">
        <f>CK37</f>
        <v>0</v>
      </c>
      <c r="CK56" s="223"/>
      <c r="CL56" s="223"/>
      <c r="CM56" s="223"/>
      <c r="CN56" s="221"/>
      <c r="CO56" s="223"/>
      <c r="CP56" s="223"/>
      <c r="CQ56" s="223"/>
      <c r="CR56" s="223"/>
      <c r="CS56" s="225">
        <f>CU37</f>
        <v>191161297.18000001</v>
      </c>
      <c r="CT56" s="225">
        <f>CV37</f>
        <v>160824176.32000002</v>
      </c>
      <c r="CU56" s="223"/>
      <c r="CV56" s="223"/>
      <c r="CW56" s="223"/>
      <c r="CX56" s="223"/>
      <c r="CY56" s="223"/>
      <c r="CZ56" s="223"/>
      <c r="DA56" s="225">
        <f>DC37</f>
        <v>23311529.969999999</v>
      </c>
      <c r="DB56" s="225">
        <f>DD37</f>
        <v>19127720.400000002</v>
      </c>
      <c r="DC56" s="223"/>
      <c r="DD56" s="223"/>
      <c r="DE56" s="223"/>
      <c r="DF56" s="223"/>
      <c r="DG56" s="223"/>
      <c r="DH56" s="223"/>
      <c r="DI56" s="849"/>
      <c r="DJ56" s="849"/>
      <c r="DK56" s="237"/>
      <c r="DL56" s="237"/>
      <c r="DM56" s="849"/>
      <c r="DN56" s="849"/>
      <c r="DO56" s="223"/>
      <c r="DP56" s="223"/>
      <c r="DQ56" s="225"/>
      <c r="DR56" s="223"/>
      <c r="DS56" s="223"/>
      <c r="DT56" s="223"/>
      <c r="DU56" s="223"/>
      <c r="DV56" s="223"/>
      <c r="DW56" s="223"/>
      <c r="DX56" s="225"/>
      <c r="DY56" s="223"/>
      <c r="DZ56" s="223"/>
      <c r="EA56" s="223"/>
      <c r="EB56" s="223"/>
      <c r="EC56" s="223"/>
      <c r="ED56" s="223"/>
      <c r="EE56" s="223"/>
      <c r="EF56" s="223"/>
      <c r="EG56" s="223"/>
      <c r="EH56" s="223"/>
      <c r="EI56" s="223"/>
      <c r="EJ56" s="223"/>
      <c r="EK56" s="223"/>
      <c r="EL56" s="223"/>
      <c r="EM56" s="223"/>
      <c r="EN56" s="223"/>
      <c r="EO56" s="223"/>
      <c r="EP56" s="223"/>
      <c r="EQ56" s="223"/>
      <c r="ER56" s="223"/>
      <c r="ES56" s="223"/>
      <c r="ET56" s="223"/>
      <c r="EU56" s="223"/>
      <c r="EV56" s="223"/>
      <c r="EW56" s="223"/>
      <c r="EX56" s="223"/>
      <c r="EY56" s="223"/>
      <c r="EZ56" s="223"/>
      <c r="FA56" s="223"/>
      <c r="FB56" s="223"/>
      <c r="FC56" s="223"/>
      <c r="FD56" s="223"/>
      <c r="FE56" s="223"/>
      <c r="FF56" s="223"/>
      <c r="FG56" s="223"/>
      <c r="FH56" s="223"/>
      <c r="FI56" s="223"/>
      <c r="FJ56" s="223"/>
      <c r="FK56" s="223"/>
      <c r="FL56" s="223"/>
      <c r="FM56" s="223"/>
      <c r="FN56" s="223"/>
      <c r="FO56" s="223"/>
      <c r="FP56" s="223"/>
      <c r="FQ56" s="223"/>
      <c r="FR56" s="223"/>
      <c r="FS56" s="223"/>
      <c r="FT56" s="223"/>
      <c r="FU56" s="223"/>
      <c r="FV56" s="223"/>
      <c r="FW56" s="223"/>
      <c r="FX56" s="223"/>
      <c r="FY56" s="223"/>
      <c r="FZ56" s="223"/>
      <c r="GA56" s="223"/>
      <c r="GB56" s="223"/>
      <c r="GC56" s="223"/>
      <c r="GD56" s="223"/>
      <c r="GE56" s="223"/>
      <c r="GF56" s="223"/>
      <c r="GG56" s="223"/>
      <c r="GH56" s="223"/>
      <c r="GI56" s="223"/>
      <c r="GJ56" s="223"/>
      <c r="GK56" s="223"/>
      <c r="GL56" s="223"/>
      <c r="GM56" s="223"/>
      <c r="GN56" s="223"/>
      <c r="GO56" s="223"/>
      <c r="GP56" s="223"/>
      <c r="GQ56" s="223"/>
      <c r="GR56" s="223"/>
      <c r="GS56" s="223"/>
      <c r="GT56" s="223"/>
      <c r="GU56" s="223"/>
      <c r="GV56" s="223"/>
      <c r="GW56" s="223"/>
      <c r="GX56" s="223"/>
      <c r="GY56" s="223"/>
      <c r="GZ56" s="223"/>
      <c r="HA56" s="223"/>
      <c r="HB56" s="223"/>
      <c r="HC56" s="223"/>
      <c r="HD56" s="223"/>
      <c r="HE56" s="223"/>
      <c r="HF56" s="223"/>
      <c r="HG56" s="223"/>
      <c r="HH56" s="223"/>
      <c r="HI56" s="223"/>
      <c r="HJ56" s="223"/>
      <c r="HK56" s="225"/>
      <c r="HL56" s="223"/>
      <c r="HM56" s="223"/>
      <c r="HN56" s="225"/>
      <c r="HO56" s="223"/>
      <c r="HP56" s="223"/>
      <c r="HQ56" s="225">
        <f>'Проверочная  таблица'!HW37</f>
        <v>14363490.91</v>
      </c>
      <c r="HR56" s="225"/>
      <c r="HS56" s="225"/>
      <c r="HT56" s="225">
        <f>'Проверочная  таблица'!HZ37</f>
        <v>12227034.040000003</v>
      </c>
      <c r="HU56" s="225"/>
      <c r="HV56" s="225"/>
      <c r="HW56" s="223"/>
      <c r="HX56" s="223"/>
      <c r="HY56" s="223"/>
      <c r="HZ56" s="223"/>
      <c r="IA56" s="223"/>
      <c r="IB56" s="223"/>
      <c r="IC56" s="223"/>
      <c r="ID56" s="223"/>
      <c r="IQ56" s="935">
        <f>SUM(IT56:IZ56)</f>
        <v>0</v>
      </c>
      <c r="IR56" s="935"/>
      <c r="IS56" s="935"/>
      <c r="IT56" s="223"/>
      <c r="IU56" s="223"/>
      <c r="IV56" s="223"/>
      <c r="IW56" s="223"/>
      <c r="IX56" s="223"/>
      <c r="IY56" s="223"/>
      <c r="IZ56" s="223"/>
      <c r="JA56" s="935">
        <f>SUM(JD56:JJ56)</f>
        <v>0</v>
      </c>
      <c r="JB56" s="935"/>
      <c r="JC56" s="935"/>
      <c r="JD56" s="223"/>
      <c r="JE56" s="223"/>
      <c r="JF56" s="223"/>
      <c r="JG56" s="223"/>
      <c r="JH56" s="223"/>
      <c r="JI56" s="223"/>
      <c r="JJ56" s="223"/>
      <c r="JK56" s="935">
        <f>SUM(JN56:JO56)</f>
        <v>0</v>
      </c>
      <c r="JL56" s="935"/>
      <c r="JM56" s="935"/>
      <c r="JN56" s="223"/>
      <c r="JO56" s="223"/>
      <c r="JP56" s="935">
        <f>SUM(JS56:JT56)</f>
        <v>0</v>
      </c>
      <c r="JQ56" s="935"/>
      <c r="JR56" s="935"/>
      <c r="JS56" s="223"/>
      <c r="JT56" s="223"/>
      <c r="JU56" s="221"/>
      <c r="JV56" s="1412"/>
      <c r="JW56" s="1412"/>
      <c r="JX56" s="221"/>
      <c r="JY56" s="221"/>
      <c r="JZ56" s="221"/>
      <c r="KA56" s="1412"/>
      <c r="KB56" s="1412"/>
      <c r="KC56" s="221"/>
      <c r="KD56" s="221"/>
      <c r="KE56" s="221"/>
      <c r="KF56" s="1412"/>
      <c r="KG56" s="1412"/>
      <c r="KH56" s="221"/>
      <c r="KI56" s="221"/>
      <c r="KJ56" s="221"/>
      <c r="KK56" s="1412"/>
      <c r="KL56" s="1412"/>
      <c r="KM56" s="221"/>
      <c r="KN56" s="221"/>
      <c r="KO56" s="239"/>
      <c r="KP56" s="239"/>
      <c r="KQ56" s="239"/>
      <c r="KR56" s="239"/>
      <c r="KS56" s="239"/>
      <c r="KT56" s="239"/>
      <c r="KU56" s="221"/>
      <c r="KV56" s="1089"/>
      <c r="KW56" s="221"/>
      <c r="KX56" s="1095"/>
      <c r="KY56" s="221"/>
      <c r="KZ56" s="1095"/>
      <c r="LA56"/>
      <c r="LB56"/>
      <c r="LC56"/>
      <c r="LD56"/>
      <c r="LE56"/>
      <c r="LF56"/>
      <c r="LG56"/>
      <c r="LH56"/>
      <c r="LI56"/>
      <c r="LJ56"/>
      <c r="LK56"/>
      <c r="LL56"/>
      <c r="LM56"/>
      <c r="LN56"/>
      <c r="LO56"/>
      <c r="LP56" s="1535"/>
      <c r="LQ56"/>
      <c r="LR56"/>
      <c r="LS56"/>
      <c r="LT56"/>
      <c r="LU56"/>
      <c r="LV56"/>
      <c r="LW56"/>
      <c r="LX56"/>
      <c r="LY56"/>
      <c r="LZ56"/>
      <c r="MA56"/>
      <c r="MB56"/>
      <c r="MC56"/>
      <c r="MD56"/>
      <c r="ME56"/>
      <c r="MF56"/>
      <c r="MG56" s="223"/>
      <c r="MH56" s="223"/>
      <c r="MI56" s="223"/>
      <c r="MJ56" s="223"/>
      <c r="MK56" s="223"/>
      <c r="ML56" s="223"/>
      <c r="MM56" s="223"/>
      <c r="MN56" s="223"/>
      <c r="MO56" s="223"/>
      <c r="MP56" s="223"/>
      <c r="MQ56" s="223"/>
      <c r="MR56" s="223"/>
      <c r="MS56" s="223"/>
      <c r="MT56" s="223"/>
      <c r="MU56" s="223"/>
      <c r="MV56" s="223"/>
      <c r="MW56" s="223"/>
      <c r="MX56" s="223"/>
      <c r="MY56" s="223"/>
      <c r="MZ56" s="223"/>
      <c r="NA56" s="223"/>
      <c r="NB56" s="223"/>
      <c r="NC56" s="223"/>
      <c r="ND56" s="223"/>
      <c r="NE56" s="223"/>
      <c r="NF56" s="223"/>
      <c r="NG56" s="223"/>
      <c r="NH56" s="223"/>
      <c r="NI56" s="223"/>
      <c r="NJ56" s="223"/>
      <c r="NK56" s="223"/>
      <c r="NL56" s="223"/>
      <c r="NM56" s="223"/>
      <c r="NN56" s="223"/>
      <c r="NO56" s="223"/>
      <c r="NP56" s="223"/>
      <c r="NQ56" s="223"/>
      <c r="NR56" s="223"/>
      <c r="NS56" s="223"/>
      <c r="NT56" s="223"/>
      <c r="NU56" s="223"/>
      <c r="NV56" s="223"/>
      <c r="NW56" s="223"/>
      <c r="NX56" s="223"/>
      <c r="NY56" s="223"/>
      <c r="NZ56" s="223"/>
      <c r="OA56" s="223"/>
      <c r="OB56" s="223"/>
      <c r="OC56" s="223"/>
      <c r="OD56" s="223"/>
      <c r="OE56" s="223"/>
      <c r="OF56" s="223"/>
      <c r="OG56" s="223"/>
      <c r="OH56" s="223"/>
      <c r="OI56" s="223"/>
      <c r="OJ56" s="223"/>
      <c r="OK56" s="223"/>
      <c r="OL56" s="223"/>
      <c r="OM56" s="223"/>
      <c r="ON56" s="223"/>
      <c r="OO56" s="223"/>
      <c r="OP56" s="223"/>
      <c r="OQ56" s="223"/>
      <c r="OR56" s="223"/>
      <c r="OS56" s="223"/>
      <c r="OT56" s="223"/>
      <c r="OU56" s="223"/>
      <c r="OV56" s="223"/>
      <c r="OW56" s="223"/>
      <c r="OX56" s="223"/>
      <c r="OY56" s="223"/>
      <c r="OZ56" s="223"/>
      <c r="PA56" s="223"/>
      <c r="PB56" s="223"/>
      <c r="PC56" s="223"/>
      <c r="PD56" s="223"/>
      <c r="PE56" s="223"/>
      <c r="PF56" s="223"/>
      <c r="PG56" s="223"/>
      <c r="PH56" s="223"/>
      <c r="PI56" s="223"/>
      <c r="PJ56" s="223"/>
      <c r="PK56" s="223"/>
      <c r="PL56" s="223"/>
      <c r="PM56" s="223"/>
      <c r="PN56" s="223"/>
      <c r="PO56" s="223"/>
      <c r="PP56" s="223"/>
      <c r="PQ56" s="223"/>
      <c r="PR56" s="223"/>
      <c r="PS56" s="223"/>
      <c r="PT56" s="223"/>
      <c r="PU56" s="223"/>
      <c r="PV56" s="223"/>
      <c r="PW56" s="223"/>
      <c r="PX56" s="223"/>
      <c r="PY56" s="223"/>
      <c r="PZ56" s="223"/>
      <c r="QA56" s="223"/>
      <c r="QB56" s="223"/>
      <c r="QC56" s="223"/>
      <c r="QD56" s="223"/>
      <c r="QE56" s="223"/>
      <c r="QF56" s="223"/>
      <c r="QG56" s="223"/>
      <c r="QH56" s="223"/>
      <c r="QI56" s="223"/>
      <c r="QJ56" s="223"/>
      <c r="QK56" s="223"/>
      <c r="QL56" s="223"/>
      <c r="QM56" s="223"/>
      <c r="QN56" s="223"/>
      <c r="QO56" s="223"/>
      <c r="QP56" s="223"/>
      <c r="QQ56" s="223"/>
      <c r="QR56" s="223"/>
      <c r="QS56" s="223"/>
      <c r="QT56" s="223"/>
      <c r="QU56" s="223"/>
      <c r="QV56" s="223"/>
      <c r="QW56" s="223"/>
      <c r="QX56" s="223"/>
      <c r="QY56" s="223"/>
      <c r="QZ56" s="223"/>
      <c r="RA56" s="223"/>
      <c r="RB56" s="223"/>
      <c r="RC56" s="223"/>
      <c r="RD56" s="223"/>
      <c r="RE56" s="223"/>
      <c r="RF56" s="223"/>
      <c r="RG56" s="223"/>
      <c r="RH56" s="223"/>
      <c r="RI56" s="223"/>
      <c r="RJ56" s="223"/>
      <c r="RK56" s="223"/>
      <c r="RL56" s="223"/>
      <c r="RM56" s="223"/>
      <c r="RN56" s="223"/>
      <c r="RO56" s="223"/>
      <c r="RP56" s="223"/>
      <c r="RQ56" s="223"/>
      <c r="RR56" s="223"/>
      <c r="RS56" s="223"/>
      <c r="RT56" s="223"/>
      <c r="RU56" s="223"/>
      <c r="RV56" s="223"/>
      <c r="RW56" s="223"/>
      <c r="RX56" s="223"/>
      <c r="RY56" s="223"/>
      <c r="RZ56" s="223"/>
      <c r="SA56" s="223"/>
      <c r="SB56" s="223"/>
      <c r="SC56" s="223"/>
      <c r="SD56" s="223"/>
      <c r="SE56" s="223"/>
      <c r="SF56" s="223"/>
      <c r="SG56" s="223"/>
      <c r="SH56" s="223"/>
      <c r="SI56" s="223"/>
      <c r="SJ56" s="223"/>
      <c r="SK56" s="223"/>
      <c r="SL56" s="223"/>
      <c r="SM56" s="223"/>
      <c r="SN56" s="223"/>
      <c r="SO56" s="223"/>
      <c r="SP56" s="223"/>
      <c r="SQ56" s="223"/>
      <c r="SR56" s="223"/>
      <c r="SS56" s="223"/>
      <c r="ST56" s="223"/>
      <c r="SU56" s="223"/>
      <c r="SV56" s="223"/>
      <c r="SW56" s="223"/>
      <c r="SX56" s="223"/>
      <c r="SY56" s="223"/>
      <c r="SZ56" s="223"/>
      <c r="TA56" s="223"/>
      <c r="TB56" s="223"/>
      <c r="TC56" s="223"/>
      <c r="TD56" s="223"/>
      <c r="TE56" s="223"/>
      <c r="TF56" s="223"/>
      <c r="TG56" s="223"/>
      <c r="TH56" s="223"/>
      <c r="TI56" s="223"/>
      <c r="TJ56" s="223"/>
      <c r="TK56" s="223"/>
      <c r="TL56" s="223"/>
      <c r="TM56" s="223"/>
      <c r="TN56" s="223"/>
      <c r="TO56" s="223"/>
      <c r="TP56" s="223"/>
      <c r="TQ56" s="223"/>
      <c r="TR56" s="223"/>
      <c r="TS56" s="223"/>
      <c r="TT56" s="223"/>
      <c r="TU56" s="223"/>
      <c r="TV56" s="223"/>
      <c r="TW56" s="223"/>
      <c r="TX56" s="223"/>
      <c r="TY56" s="223"/>
      <c r="TZ56" s="223"/>
      <c r="UA56" s="223"/>
      <c r="UB56" s="223"/>
      <c r="UC56" s="223"/>
      <c r="UD56" s="223"/>
      <c r="UE56" s="223"/>
      <c r="UF56" s="223"/>
      <c r="UG56" s="223"/>
      <c r="UH56" s="223"/>
      <c r="UI56" s="223"/>
      <c r="UJ56" s="223"/>
      <c r="UK56" s="223"/>
      <c r="UL56" s="223"/>
      <c r="UM56" s="223"/>
      <c r="UN56" s="223"/>
      <c r="UO56" s="223"/>
      <c r="UP56" s="223"/>
      <c r="UQ56" s="223"/>
      <c r="UR56" s="223"/>
      <c r="US56" s="223"/>
      <c r="UT56" s="223"/>
      <c r="UU56" s="223"/>
      <c r="UV56" s="223"/>
      <c r="UW56" s="223"/>
      <c r="UX56" s="223"/>
      <c r="UY56" s="223"/>
      <c r="UZ56" s="223"/>
      <c r="VA56" s="223"/>
      <c r="VB56" s="223"/>
      <c r="VC56" s="223"/>
      <c r="VD56" s="223"/>
      <c r="VE56" s="223"/>
      <c r="VF56" s="223"/>
      <c r="VG56" s="223"/>
      <c r="VH56" s="223"/>
      <c r="VI56" s="223"/>
      <c r="VJ56" s="223"/>
      <c r="VK56" s="223"/>
      <c r="VL56" s="223"/>
      <c r="VM56" s="223"/>
      <c r="VN56" s="223"/>
      <c r="VO56" s="223"/>
      <c r="VP56" s="223"/>
      <c r="VQ56" s="223"/>
      <c r="VR56" s="223"/>
      <c r="VS56" s="223"/>
      <c r="VT56" s="223"/>
      <c r="VU56" s="223"/>
      <c r="VV56" s="223"/>
      <c r="VW56" s="223"/>
      <c r="VX56" s="223"/>
      <c r="VY56" s="223"/>
      <c r="VZ56" s="223"/>
      <c r="WA56" s="223"/>
      <c r="WB56" s="223"/>
      <c r="WC56" s="223"/>
      <c r="WD56" s="223"/>
      <c r="WE56" s="223"/>
      <c r="WF56" s="223"/>
      <c r="WG56" s="223"/>
      <c r="WH56" s="223"/>
      <c r="WI56" s="223"/>
      <c r="WJ56" s="223"/>
      <c r="WK56" s="223"/>
      <c r="WL56" s="223"/>
      <c r="WM56" s="223"/>
      <c r="WN56" s="223"/>
    </row>
    <row r="57" spans="1:612" s="934" customFormat="1" x14ac:dyDescent="0.25">
      <c r="A57" s="929" t="s">
        <v>164</v>
      </c>
      <c r="B57" s="930">
        <f>B53-B54-B55-B56</f>
        <v>-2.9802322387695313E-7</v>
      </c>
      <c r="C57" s="930">
        <f>C53-C54-C55-C56</f>
        <v>0</v>
      </c>
      <c r="D57" s="1052">
        <f t="shared" si="641"/>
        <v>-2.9802322387695313E-10</v>
      </c>
      <c r="E57" s="1052">
        <f t="shared" si="641"/>
        <v>0</v>
      </c>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849">
        <f t="shared" si="635"/>
        <v>0</v>
      </c>
      <c r="AL57" s="936"/>
      <c r="AM57" s="223"/>
      <c r="AN57" s="223"/>
      <c r="AO57" s="936">
        <f>SUM(AQ57:AT57)</f>
        <v>0</v>
      </c>
      <c r="AP57" s="936"/>
      <c r="AQ57" s="849">
        <f t="shared" si="636"/>
        <v>0</v>
      </c>
      <c r="AR57" s="936"/>
      <c r="AS57" s="223"/>
      <c r="AT57" s="223"/>
      <c r="AU57" s="936"/>
      <c r="AV57" s="936"/>
      <c r="AW57" s="849">
        <f t="shared" si="638"/>
        <v>-1.3038516044616699E-8</v>
      </c>
      <c r="AX57" s="936">
        <f>SUM(AY57:MF57)</f>
        <v>-9.3132257461547852E-9</v>
      </c>
      <c r="AY57" s="223"/>
      <c r="AZ57" s="936">
        <f>SUM(BA57:BC57)</f>
        <v>-3.7252902984619141E-9</v>
      </c>
      <c r="BA57" s="849">
        <f t="shared" si="640"/>
        <v>-1.862645149230957E-9</v>
      </c>
      <c r="BB57" s="936">
        <f>SUM(BC57:MF57)</f>
        <v>-1.862645149230957E-9</v>
      </c>
      <c r="BC57" s="223"/>
      <c r="BD57" s="936">
        <f>SUM(BE57:BG57)</f>
        <v>0</v>
      </c>
      <c r="BE57" s="223"/>
      <c r="BF57" s="223"/>
      <c r="BG57" s="223"/>
      <c r="BH57" s="223"/>
      <c r="BI57" s="223"/>
      <c r="BJ57" s="223"/>
      <c r="BK57" s="223"/>
      <c r="BL57" s="223"/>
      <c r="BM57" s="223"/>
      <c r="BN57" s="223"/>
      <c r="BO57" s="223"/>
      <c r="BP57" s="223"/>
      <c r="BQ57" s="223"/>
      <c r="BR57" s="223"/>
      <c r="BS57" s="223"/>
      <c r="BT57" s="223"/>
      <c r="BU57" s="225">
        <f>BU53-BU54-BU55-BU56</f>
        <v>0</v>
      </c>
      <c r="BV57" s="223"/>
      <c r="BW57" s="223"/>
      <c r="BX57" s="223"/>
      <c r="BY57" s="221"/>
      <c r="BZ57" s="225">
        <f>BZ53-BZ54-BZ55-BZ56</f>
        <v>0</v>
      </c>
      <c r="CA57" s="223"/>
      <c r="CB57" s="223"/>
      <c r="CC57" s="223"/>
      <c r="CD57" s="221"/>
      <c r="CE57" s="225">
        <f>CE53-CE54-CE55-CE56</f>
        <v>0</v>
      </c>
      <c r="CF57" s="223"/>
      <c r="CG57" s="223"/>
      <c r="CH57" s="223"/>
      <c r="CI57" s="221"/>
      <c r="CJ57" s="225">
        <f>CJ53-CJ54-CJ55-CJ56</f>
        <v>0</v>
      </c>
      <c r="CK57" s="223"/>
      <c r="CL57" s="223"/>
      <c r="CM57" s="223"/>
      <c r="CN57" s="221"/>
      <c r="CO57" s="223"/>
      <c r="CP57" s="223"/>
      <c r="CQ57" s="223"/>
      <c r="CR57" s="223"/>
      <c r="CS57" s="225">
        <f>CS53-CS54-CS55-CS56</f>
        <v>0</v>
      </c>
      <c r="CT57" s="225">
        <f>CT53-CT54-CT55-CT56</f>
        <v>0</v>
      </c>
      <c r="CU57" s="223"/>
      <c r="CV57" s="223"/>
      <c r="CW57" s="223"/>
      <c r="CX57" s="223"/>
      <c r="CY57" s="223"/>
      <c r="CZ57" s="223"/>
      <c r="DA57" s="225">
        <f>DA53-DA54-DA55-DA56</f>
        <v>0</v>
      </c>
      <c r="DB57" s="225">
        <f>DB53-DB54-DB55-DB56</f>
        <v>0</v>
      </c>
      <c r="DC57" s="223"/>
      <c r="DD57" s="223"/>
      <c r="DE57" s="223"/>
      <c r="DF57" s="223"/>
      <c r="DG57" s="223"/>
      <c r="DH57" s="223"/>
      <c r="DI57" s="849"/>
      <c r="DJ57" s="849"/>
      <c r="DK57" s="237"/>
      <c r="DL57" s="237"/>
      <c r="DM57" s="849"/>
      <c r="DN57" s="849"/>
      <c r="DO57" s="223"/>
      <c r="DP57" s="223"/>
      <c r="DQ57" s="225">
        <f>DQ53-DQ54-DQ55-DQ56</f>
        <v>-1.862645149230957E-9</v>
      </c>
      <c r="DR57" s="223"/>
      <c r="DS57" s="223"/>
      <c r="DT57" s="223"/>
      <c r="DU57" s="223"/>
      <c r="DV57" s="223"/>
      <c r="DW57" s="223"/>
      <c r="DX57" s="225">
        <f>DX53-DX54-DX55-DX56</f>
        <v>0</v>
      </c>
      <c r="DY57" s="223"/>
      <c r="DZ57" s="223"/>
      <c r="EA57" s="223"/>
      <c r="EB57" s="223"/>
      <c r="EC57" s="223"/>
      <c r="ED57" s="223"/>
      <c r="EE57" s="223"/>
      <c r="EF57" s="223"/>
      <c r="EG57" s="223"/>
      <c r="EH57" s="223"/>
      <c r="EI57" s="223"/>
      <c r="EJ57" s="223"/>
      <c r="EK57" s="223"/>
      <c r="EL57" s="223"/>
      <c r="EM57" s="223"/>
      <c r="EN57" s="223"/>
      <c r="EO57" s="223"/>
      <c r="EP57" s="223"/>
      <c r="EQ57" s="223"/>
      <c r="ER57" s="223"/>
      <c r="ES57" s="223"/>
      <c r="ET57" s="223"/>
      <c r="EU57" s="223"/>
      <c r="EV57" s="223"/>
      <c r="EW57" s="223"/>
      <c r="EX57" s="223"/>
      <c r="EY57" s="223"/>
      <c r="EZ57" s="223"/>
      <c r="FA57" s="223"/>
      <c r="FB57" s="223"/>
      <c r="FC57" s="223"/>
      <c r="FD57" s="223"/>
      <c r="FE57" s="223"/>
      <c r="FF57" s="223"/>
      <c r="FG57" s="223"/>
      <c r="FH57" s="223"/>
      <c r="FI57" s="223"/>
      <c r="FJ57" s="223"/>
      <c r="FK57" s="223"/>
      <c r="FL57" s="223"/>
      <c r="FM57" s="223"/>
      <c r="FN57" s="223"/>
      <c r="FO57" s="223"/>
      <c r="FP57" s="223"/>
      <c r="FQ57" s="223"/>
      <c r="FR57" s="223"/>
      <c r="FS57" s="223"/>
      <c r="FT57" s="223"/>
      <c r="FU57" s="223"/>
      <c r="FV57" s="223"/>
      <c r="FW57" s="223"/>
      <c r="FX57" s="223"/>
      <c r="FY57" s="223"/>
      <c r="FZ57" s="223"/>
      <c r="GA57" s="223"/>
      <c r="GB57" s="223"/>
      <c r="GC57" s="223"/>
      <c r="GD57" s="223"/>
      <c r="GE57" s="223"/>
      <c r="GF57" s="223"/>
      <c r="GG57" s="223"/>
      <c r="GH57" s="223"/>
      <c r="GI57" s="223"/>
      <c r="GJ57" s="223"/>
      <c r="GK57" s="223"/>
      <c r="GL57" s="223"/>
      <c r="GM57" s="223"/>
      <c r="GN57" s="223"/>
      <c r="GO57" s="223"/>
      <c r="GP57" s="223"/>
      <c r="GQ57" s="223"/>
      <c r="GR57" s="223"/>
      <c r="GS57" s="223"/>
      <c r="GT57" s="223"/>
      <c r="GU57" s="223"/>
      <c r="GV57" s="223"/>
      <c r="GW57" s="223"/>
      <c r="GX57" s="223"/>
      <c r="GY57" s="223"/>
      <c r="GZ57" s="223"/>
      <c r="HA57" s="223"/>
      <c r="HB57" s="223"/>
      <c r="HC57" s="223"/>
      <c r="HD57" s="223"/>
      <c r="HE57" s="223"/>
      <c r="HF57" s="223"/>
      <c r="HG57" s="223"/>
      <c r="HH57" s="223"/>
      <c r="HI57" s="223"/>
      <c r="HJ57" s="223"/>
      <c r="HK57" s="225">
        <f>HK53-HK54-HK55-HK56</f>
        <v>0</v>
      </c>
      <c r="HL57" s="223"/>
      <c r="HM57" s="223"/>
      <c r="HN57" s="225">
        <f>HN53-HN54-HN55-HN56</f>
        <v>0</v>
      </c>
      <c r="HO57" s="223"/>
      <c r="HP57" s="223"/>
      <c r="HQ57" s="225">
        <f>HQ53-HQ54-HQ55-HQ56</f>
        <v>0</v>
      </c>
      <c r="HR57" s="225"/>
      <c r="HS57" s="225"/>
      <c r="HT57" s="225">
        <f>HT53-HT54-HT55-HT56</f>
        <v>0</v>
      </c>
      <c r="HU57" s="225"/>
      <c r="HV57" s="225"/>
      <c r="HW57" s="223"/>
      <c r="HX57" s="223"/>
      <c r="HY57" s="223"/>
      <c r="HZ57" s="223"/>
      <c r="IA57" s="223"/>
      <c r="IB57" s="223"/>
      <c r="IC57" s="223"/>
      <c r="ID57" s="223"/>
      <c r="IQ57" s="935">
        <f>SUM(IT57:IZ57)</f>
        <v>0</v>
      </c>
      <c r="IR57" s="935"/>
      <c r="IS57" s="935"/>
      <c r="IT57" s="223"/>
      <c r="IU57" s="223"/>
      <c r="IV57" s="223"/>
      <c r="IW57" s="223"/>
      <c r="IX57" s="223"/>
      <c r="IY57" s="223"/>
      <c r="IZ57" s="223"/>
      <c r="JA57" s="935">
        <f>SUM(JD57:JJ57)</f>
        <v>0</v>
      </c>
      <c r="JB57" s="935"/>
      <c r="JC57" s="935"/>
      <c r="JD57" s="223"/>
      <c r="JE57" s="223"/>
      <c r="JF57" s="223"/>
      <c r="JG57" s="223"/>
      <c r="JH57" s="223"/>
      <c r="JI57" s="223"/>
      <c r="JJ57" s="223"/>
      <c r="JK57" s="935">
        <f>SUM(JN57:JO57)</f>
        <v>0</v>
      </c>
      <c r="JL57" s="935"/>
      <c r="JM57" s="935"/>
      <c r="JN57" s="223"/>
      <c r="JO57" s="223"/>
      <c r="JP57" s="935">
        <f>SUM(JS57:JT57)</f>
        <v>0</v>
      </c>
      <c r="JQ57" s="935"/>
      <c r="JR57" s="935"/>
      <c r="JS57" s="223"/>
      <c r="JT57" s="223"/>
      <c r="JU57" s="221"/>
      <c r="JV57" s="1412"/>
      <c r="JW57" s="1412"/>
      <c r="JX57" s="221"/>
      <c r="JY57" s="221"/>
      <c r="JZ57" s="221"/>
      <c r="KA57" s="1412"/>
      <c r="KB57" s="1412"/>
      <c r="KC57" s="221"/>
      <c r="KD57" s="221"/>
      <c r="KE57" s="221"/>
      <c r="KF57" s="1412"/>
      <c r="KG57" s="1412"/>
      <c r="KH57" s="221"/>
      <c r="KI57" s="221"/>
      <c r="KJ57" s="221"/>
      <c r="KK57" s="1412"/>
      <c r="KL57" s="1412"/>
      <c r="KM57" s="221"/>
      <c r="KN57" s="221"/>
      <c r="KO57" s="225">
        <f>KO53-KO54-KO55-KO56</f>
        <v>0</v>
      </c>
      <c r="KP57" s="239"/>
      <c r="KQ57" s="239"/>
      <c r="KR57" s="239"/>
      <c r="KS57" s="225">
        <f>KS53-KS54-KS55-KS56</f>
        <v>0</v>
      </c>
      <c r="KT57" s="239"/>
      <c r="KU57" s="221"/>
      <c r="KV57" s="1089"/>
      <c r="KW57" s="221"/>
      <c r="KX57" s="1095"/>
      <c r="KY57" s="221"/>
      <c r="KZ57" s="1095"/>
      <c r="LA57"/>
      <c r="LB57"/>
      <c r="LC57"/>
      <c r="LD57"/>
      <c r="LE57"/>
      <c r="LF57"/>
      <c r="LG57"/>
      <c r="LH57"/>
      <c r="LI57"/>
      <c r="LJ57"/>
      <c r="LK57"/>
      <c r="LL57"/>
      <c r="LM57"/>
      <c r="LN57"/>
      <c r="LO57"/>
      <c r="LP57" s="1535"/>
      <c r="LQ57"/>
      <c r="LR57"/>
      <c r="LS57"/>
      <c r="LT57"/>
      <c r="LU57"/>
      <c r="LV57"/>
      <c r="LW57"/>
      <c r="LX57"/>
      <c r="LY57"/>
      <c r="LZ57"/>
      <c r="MA57"/>
      <c r="MB57"/>
      <c r="MC57"/>
      <c r="MD57"/>
      <c r="ME57"/>
      <c r="MF57"/>
      <c r="MG57" s="223"/>
      <c r="MH57" s="223"/>
      <c r="MI57" s="223"/>
      <c r="MJ57" s="223"/>
      <c r="MK57" s="223"/>
      <c r="ML57" s="223"/>
      <c r="MM57" s="223"/>
      <c r="MN57" s="223"/>
      <c r="MO57" s="223"/>
      <c r="MP57" s="223"/>
      <c r="MQ57" s="223"/>
      <c r="MR57" s="223"/>
      <c r="MS57" s="223"/>
      <c r="MT57" s="223"/>
      <c r="MU57" s="223"/>
      <c r="MV57" s="223"/>
      <c r="MW57" s="223"/>
      <c r="MX57" s="223"/>
      <c r="MY57" s="223"/>
      <c r="MZ57" s="223"/>
      <c r="NA57" s="223"/>
      <c r="NB57" s="223"/>
      <c r="NC57" s="223"/>
      <c r="ND57" s="223"/>
      <c r="NE57" s="223"/>
      <c r="NF57" s="223"/>
      <c r="NG57" s="223"/>
      <c r="NH57" s="223"/>
      <c r="NI57" s="223"/>
      <c r="NJ57" s="223"/>
      <c r="NK57" s="223"/>
      <c r="NL57" s="223"/>
      <c r="NM57" s="223"/>
      <c r="NN57" s="223"/>
      <c r="NO57" s="223"/>
      <c r="NP57" s="223"/>
      <c r="NQ57" s="223"/>
      <c r="NR57" s="223"/>
      <c r="NS57" s="223"/>
      <c r="NT57" s="223"/>
      <c r="NU57" s="223"/>
      <c r="NV57" s="223"/>
      <c r="NW57" s="223"/>
      <c r="NX57" s="223"/>
      <c r="NY57" s="223"/>
      <c r="NZ57" s="223"/>
      <c r="OA57" s="223"/>
      <c r="OB57" s="223"/>
      <c r="OC57" s="223"/>
      <c r="OD57" s="223"/>
      <c r="OE57" s="223"/>
      <c r="OF57" s="223"/>
      <c r="OG57" s="223"/>
      <c r="OH57" s="223"/>
      <c r="OI57" s="223"/>
      <c r="OJ57" s="223"/>
      <c r="OK57" s="223"/>
      <c r="OL57" s="223"/>
      <c r="OM57" s="223"/>
      <c r="ON57" s="223"/>
      <c r="OO57" s="223"/>
      <c r="OP57" s="223"/>
      <c r="OQ57" s="223"/>
      <c r="OR57" s="223"/>
      <c r="OS57" s="223"/>
      <c r="OT57" s="223"/>
      <c r="OU57" s="223"/>
      <c r="OV57" s="223"/>
      <c r="OW57" s="223"/>
      <c r="OX57" s="223"/>
      <c r="OY57" s="223"/>
      <c r="OZ57" s="223"/>
      <c r="PA57" s="223"/>
      <c r="PB57" s="223"/>
      <c r="PC57" s="223"/>
      <c r="PD57" s="223"/>
      <c r="PE57" s="223"/>
      <c r="PF57" s="223"/>
      <c r="PG57" s="223"/>
      <c r="PH57" s="223"/>
      <c r="PI57" s="223"/>
      <c r="PJ57" s="223"/>
      <c r="PK57" s="223"/>
      <c r="PL57" s="223"/>
      <c r="PM57" s="223"/>
      <c r="PN57" s="223"/>
      <c r="PO57" s="223"/>
      <c r="PP57" s="223"/>
      <c r="PQ57" s="223"/>
      <c r="PR57" s="223"/>
      <c r="PS57" s="223"/>
      <c r="PT57" s="223"/>
      <c r="PU57" s="223"/>
      <c r="PV57" s="223"/>
      <c r="PW57" s="223"/>
      <c r="PX57" s="223"/>
      <c r="PY57" s="223"/>
      <c r="PZ57" s="223"/>
      <c r="QA57" s="223"/>
      <c r="QB57" s="223"/>
      <c r="QC57" s="223"/>
      <c r="QD57" s="223"/>
      <c r="QE57" s="223"/>
      <c r="QF57" s="223"/>
      <c r="QG57" s="223"/>
      <c r="QH57" s="223"/>
      <c r="QI57" s="223"/>
      <c r="QJ57" s="223"/>
      <c r="QK57" s="223"/>
      <c r="QL57" s="223"/>
      <c r="QM57" s="223"/>
      <c r="QN57" s="223"/>
      <c r="QO57" s="223"/>
      <c r="QP57" s="223"/>
      <c r="QQ57" s="223"/>
      <c r="QR57" s="223"/>
      <c r="QS57" s="223"/>
      <c r="QT57" s="223"/>
      <c r="QU57" s="223"/>
      <c r="QV57" s="223"/>
      <c r="QW57" s="223"/>
      <c r="QX57" s="223"/>
      <c r="QY57" s="223"/>
      <c r="QZ57" s="223"/>
      <c r="RA57" s="223"/>
      <c r="RB57" s="223"/>
      <c r="RC57" s="223"/>
      <c r="RD57" s="223"/>
      <c r="RE57" s="223"/>
      <c r="RF57" s="223"/>
      <c r="RG57" s="223"/>
      <c r="RH57" s="223"/>
      <c r="RI57" s="223"/>
      <c r="RJ57" s="223"/>
      <c r="RK57" s="223"/>
      <c r="RL57" s="223"/>
      <c r="RM57" s="223"/>
      <c r="RN57" s="223"/>
      <c r="RO57" s="223"/>
      <c r="RP57" s="223"/>
      <c r="RQ57" s="223"/>
      <c r="RR57" s="223"/>
      <c r="RS57" s="223"/>
      <c r="RT57" s="223"/>
      <c r="RU57" s="223"/>
      <c r="RV57" s="223"/>
      <c r="RW57" s="223"/>
      <c r="RX57" s="223"/>
      <c r="RY57" s="223"/>
      <c r="RZ57" s="223"/>
      <c r="SA57" s="223"/>
      <c r="SB57" s="223"/>
      <c r="SC57" s="223"/>
      <c r="SD57" s="223"/>
      <c r="SE57" s="223"/>
      <c r="SF57" s="223"/>
      <c r="SG57" s="223"/>
      <c r="SH57" s="223"/>
      <c r="SI57" s="223"/>
      <c r="SJ57" s="223"/>
      <c r="SK57" s="223"/>
      <c r="SL57" s="223"/>
      <c r="SM57" s="223"/>
      <c r="SN57" s="223"/>
      <c r="SO57" s="223"/>
      <c r="SP57" s="223"/>
      <c r="SQ57" s="223"/>
      <c r="SR57" s="223"/>
      <c r="SS57" s="223"/>
      <c r="ST57" s="223"/>
      <c r="SU57" s="223"/>
      <c r="SV57" s="223"/>
      <c r="SW57" s="223"/>
      <c r="SX57" s="223"/>
      <c r="SY57" s="223"/>
      <c r="SZ57" s="223"/>
      <c r="TA57" s="223"/>
      <c r="TB57" s="223"/>
      <c r="TC57" s="223"/>
      <c r="TD57" s="223"/>
      <c r="TE57" s="223"/>
      <c r="TF57" s="223"/>
      <c r="TG57" s="223"/>
      <c r="TH57" s="223"/>
      <c r="TI57" s="223"/>
      <c r="TJ57" s="223"/>
      <c r="TK57" s="223"/>
      <c r="TL57" s="223"/>
      <c r="TM57" s="223"/>
      <c r="TN57" s="223"/>
      <c r="TO57" s="223"/>
      <c r="TP57" s="223"/>
      <c r="TQ57" s="223"/>
      <c r="TR57" s="223"/>
      <c r="TS57" s="223"/>
      <c r="TT57" s="223"/>
      <c r="TU57" s="223"/>
      <c r="TV57" s="223"/>
      <c r="TW57" s="223"/>
      <c r="TX57" s="223"/>
      <c r="TY57" s="223"/>
      <c r="TZ57" s="223"/>
      <c r="UA57" s="223"/>
      <c r="UB57" s="223"/>
      <c r="UC57" s="223"/>
      <c r="UD57" s="223"/>
      <c r="UE57" s="223"/>
      <c r="UF57" s="223"/>
      <c r="UG57" s="223"/>
      <c r="UH57" s="223"/>
      <c r="UI57" s="223"/>
      <c r="UJ57" s="223"/>
      <c r="UK57" s="223"/>
      <c r="UL57" s="223"/>
      <c r="UM57" s="223"/>
      <c r="UN57" s="223"/>
      <c r="UO57" s="223"/>
      <c r="UP57" s="223"/>
      <c r="UQ57" s="223"/>
      <c r="UR57" s="223"/>
      <c r="US57" s="223"/>
      <c r="UT57" s="223"/>
      <c r="UU57" s="223"/>
      <c r="UV57" s="223"/>
      <c r="UW57" s="223"/>
      <c r="UX57" s="223"/>
      <c r="UY57" s="223"/>
      <c r="UZ57" s="223"/>
      <c r="VA57" s="223"/>
      <c r="VB57" s="223"/>
      <c r="VC57" s="223"/>
      <c r="VD57" s="223"/>
      <c r="VE57" s="223"/>
      <c r="VF57" s="223"/>
      <c r="VG57" s="223"/>
      <c r="VH57" s="223"/>
      <c r="VI57" s="223"/>
      <c r="VJ57" s="223"/>
      <c r="VK57" s="223"/>
      <c r="VL57" s="223"/>
      <c r="VM57" s="223"/>
      <c r="VN57" s="223"/>
      <c r="VO57" s="223"/>
      <c r="VP57" s="223"/>
      <c r="VQ57" s="223"/>
      <c r="VR57" s="223"/>
      <c r="VS57" s="223"/>
      <c r="VT57" s="223"/>
      <c r="VU57" s="223"/>
      <c r="VV57" s="223"/>
      <c r="VW57" s="223"/>
      <c r="VX57" s="223"/>
      <c r="VY57" s="223"/>
      <c r="VZ57" s="223"/>
      <c r="WA57" s="223"/>
      <c r="WB57" s="223"/>
      <c r="WC57" s="223"/>
      <c r="WD57" s="223"/>
      <c r="WE57" s="223"/>
      <c r="WF57" s="223"/>
      <c r="WG57" s="223"/>
      <c r="WH57" s="223"/>
      <c r="WI57" s="223"/>
      <c r="WJ57" s="223"/>
      <c r="WK57" s="223"/>
      <c r="WL57" s="223"/>
      <c r="WM57" s="223"/>
      <c r="WN57" s="223"/>
    </row>
    <row r="58" spans="1:612" s="934" customFormat="1" x14ac:dyDescent="0.25">
      <c r="A58" s="929"/>
      <c r="B58" s="930"/>
      <c r="C58" s="933"/>
      <c r="D58" s="1052">
        <f t="shared" si="641"/>
        <v>0</v>
      </c>
      <c r="E58" s="1052">
        <f t="shared" si="641"/>
        <v>0</v>
      </c>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849">
        <f t="shared" si="635"/>
        <v>0</v>
      </c>
      <c r="AL58" s="936"/>
      <c r="AM58" s="223"/>
      <c r="AN58" s="223"/>
      <c r="AO58" s="936"/>
      <c r="AP58" s="936"/>
      <c r="AQ58" s="849">
        <f t="shared" si="636"/>
        <v>0</v>
      </c>
      <c r="AR58" s="936"/>
      <c r="AS58" s="223"/>
      <c r="AT58" s="223"/>
      <c r="AU58" s="936"/>
      <c r="AV58" s="936"/>
      <c r="AW58" s="849">
        <f t="shared" si="638"/>
        <v>0</v>
      </c>
      <c r="AX58" s="936"/>
      <c r="AY58" s="223"/>
      <c r="AZ58" s="936"/>
      <c r="BA58" s="849">
        <f t="shared" si="640"/>
        <v>0</v>
      </c>
      <c r="BB58" s="936"/>
      <c r="BC58" s="223"/>
      <c r="BD58" s="936"/>
      <c r="BE58" s="223"/>
      <c r="BF58" s="223"/>
      <c r="BG58" s="223"/>
      <c r="BH58" s="223"/>
      <c r="BI58" s="223"/>
      <c r="BJ58" s="223"/>
      <c r="BK58" s="223"/>
      <c r="BL58" s="223"/>
      <c r="BM58" s="223"/>
      <c r="BN58" s="223"/>
      <c r="BO58" s="223"/>
      <c r="BP58" s="223"/>
      <c r="BQ58" s="223"/>
      <c r="BR58" s="223"/>
      <c r="BS58" s="223"/>
      <c r="BT58" s="223"/>
      <c r="BU58" s="223"/>
      <c r="BV58" s="223"/>
      <c r="BW58" s="223"/>
      <c r="BX58" s="223"/>
      <c r="BY58"/>
      <c r="BZ58" s="223"/>
      <c r="CA58" s="223"/>
      <c r="CB58" s="223"/>
      <c r="CC58" s="223"/>
      <c r="CD58"/>
      <c r="CE58" s="223"/>
      <c r="CF58" s="223"/>
      <c r="CG58" s="223"/>
      <c r="CH58" s="223"/>
      <c r="CI58"/>
      <c r="CJ58" s="223"/>
      <c r="CK58" s="223"/>
      <c r="CL58" s="223"/>
      <c r="CM58" s="223"/>
      <c r="CN58"/>
      <c r="CO58" s="223"/>
      <c r="CP58" s="223"/>
      <c r="CQ58" s="223"/>
      <c r="CR58" s="223"/>
      <c r="CS58" s="223"/>
      <c r="CT58" s="223"/>
      <c r="CU58" s="223"/>
      <c r="CV58" s="223"/>
      <c r="CW58" s="223"/>
      <c r="CX58" s="223"/>
      <c r="CY58" s="223"/>
      <c r="CZ58" s="223"/>
      <c r="DA58" s="223"/>
      <c r="DB58" s="223"/>
      <c r="DC58" s="223"/>
      <c r="DD58" s="223"/>
      <c r="DE58" s="223"/>
      <c r="DF58" s="223"/>
      <c r="DG58" s="223"/>
      <c r="DH58" s="223"/>
      <c r="DI58" s="849"/>
      <c r="DJ58" s="849"/>
      <c r="DK58" s="237"/>
      <c r="DL58" s="237"/>
      <c r="DM58" s="849"/>
      <c r="DN58" s="849"/>
      <c r="DO58" s="223"/>
      <c r="DP58" s="223"/>
      <c r="DQ58" s="223"/>
      <c r="DR58" s="223"/>
      <c r="DS58" s="223"/>
      <c r="DT58" s="223"/>
      <c r="DU58" s="223"/>
      <c r="DV58" s="223"/>
      <c r="DW58" s="223"/>
      <c r="DX58" s="223"/>
      <c r="DY58" s="223"/>
      <c r="DZ58" s="223"/>
      <c r="EA58" s="223"/>
      <c r="EB58" s="223"/>
      <c r="EC58" s="223"/>
      <c r="ED58" s="223"/>
      <c r="EE58" s="223"/>
      <c r="EF58" s="223"/>
      <c r="EG58" s="223"/>
      <c r="EH58" s="223"/>
      <c r="EI58" s="223"/>
      <c r="EJ58" s="223"/>
      <c r="EK58" s="223"/>
      <c r="EL58" s="223"/>
      <c r="EM58" s="223"/>
      <c r="EN58" s="223"/>
      <c r="EO58" s="223"/>
      <c r="EP58" s="223"/>
      <c r="EQ58" s="223"/>
      <c r="ER58" s="223"/>
      <c r="ES58" s="223"/>
      <c r="ET58" s="223"/>
      <c r="EU58" s="223"/>
      <c r="EV58" s="223"/>
      <c r="EW58" s="223"/>
      <c r="EX58" s="223"/>
      <c r="EY58" s="223"/>
      <c r="EZ58" s="223"/>
      <c r="FA58" s="223"/>
      <c r="FB58" s="223"/>
      <c r="FC58" s="223"/>
      <c r="FD58" s="223"/>
      <c r="FE58" s="223"/>
      <c r="FF58" s="223"/>
      <c r="FG58" s="223"/>
      <c r="FH58" s="223"/>
      <c r="FI58" s="223"/>
      <c r="FJ58" s="223"/>
      <c r="FK58" s="223"/>
      <c r="FL58" s="223"/>
      <c r="FM58" s="223"/>
      <c r="FN58" s="223"/>
      <c r="FO58" s="223"/>
      <c r="FP58" s="223"/>
      <c r="FQ58" s="223"/>
      <c r="FR58" s="223"/>
      <c r="FS58" s="223"/>
      <c r="FT58" s="223"/>
      <c r="FU58" s="223"/>
      <c r="FV58" s="223"/>
      <c r="FW58" s="223"/>
      <c r="FX58" s="223"/>
      <c r="FY58" s="223"/>
      <c r="FZ58" s="223"/>
      <c r="GA58" s="223"/>
      <c r="GB58" s="223"/>
      <c r="GC58" s="223"/>
      <c r="GD58" s="223"/>
      <c r="GE58" s="223"/>
      <c r="GF58" s="223"/>
      <c r="GG58" s="223"/>
      <c r="GH58" s="223"/>
      <c r="GI58" s="223"/>
      <c r="GJ58" s="223"/>
      <c r="GK58" s="223"/>
      <c r="GL58" s="223"/>
      <c r="GM58" s="223"/>
      <c r="GN58" s="223"/>
      <c r="GO58" s="223"/>
      <c r="GP58" s="223"/>
      <c r="GQ58" s="223"/>
      <c r="GR58" s="223"/>
      <c r="GS58" s="223"/>
      <c r="GT58" s="223"/>
      <c r="GU58" s="223"/>
      <c r="GV58" s="223"/>
      <c r="GW58" s="223"/>
      <c r="GX58" s="223"/>
      <c r="GY58" s="223"/>
      <c r="GZ58" s="223"/>
      <c r="HA58" s="223"/>
      <c r="HB58" s="223"/>
      <c r="HC58" s="223"/>
      <c r="HD58" s="223"/>
      <c r="HE58" s="223"/>
      <c r="HF58" s="223"/>
      <c r="HG58" s="223"/>
      <c r="HH58" s="223"/>
      <c r="HI58" s="223"/>
      <c r="HJ58" s="223"/>
      <c r="HK58" s="223"/>
      <c r="HL58" s="223"/>
      <c r="HM58" s="223"/>
      <c r="HN58" s="223"/>
      <c r="HO58" s="223"/>
      <c r="HP58" s="223"/>
      <c r="HQ58" s="223"/>
      <c r="HR58" s="223"/>
      <c r="HS58" s="223"/>
      <c r="HT58" s="223"/>
      <c r="HU58" s="223"/>
      <c r="HV58" s="223"/>
      <c r="HW58" s="223"/>
      <c r="HX58" s="223"/>
      <c r="HY58" s="223"/>
      <c r="HZ58" s="223"/>
      <c r="IA58" s="223"/>
      <c r="IB58" s="223"/>
      <c r="IC58" s="223"/>
      <c r="ID58" s="223"/>
      <c r="IQ58" s="935"/>
      <c r="IR58" s="935"/>
      <c r="IS58" s="935"/>
      <c r="IT58" s="223"/>
      <c r="IU58" s="223"/>
      <c r="IV58" s="223"/>
      <c r="IW58" s="223"/>
      <c r="IX58" s="223"/>
      <c r="IY58" s="223"/>
      <c r="IZ58" s="223"/>
      <c r="JA58" s="935"/>
      <c r="JB58" s="935"/>
      <c r="JC58" s="935"/>
      <c r="JD58" s="223"/>
      <c r="JE58" s="223"/>
      <c r="JF58" s="223"/>
      <c r="JG58" s="223"/>
      <c r="JH58" s="223"/>
      <c r="JI58" s="223"/>
      <c r="JJ58" s="223"/>
      <c r="JK58" s="935"/>
      <c r="JL58" s="935"/>
      <c r="JM58" s="935"/>
      <c r="JN58" s="223"/>
      <c r="JO58" s="223"/>
      <c r="JP58" s="935"/>
      <c r="JQ58" s="935"/>
      <c r="JR58" s="935"/>
      <c r="JS58" s="223"/>
      <c r="JT58" s="223"/>
      <c r="JU58" s="223"/>
      <c r="JV58" s="223"/>
      <c r="JW58" s="223"/>
      <c r="JX58" s="223"/>
      <c r="JY58" s="223"/>
      <c r="JZ58" s="223"/>
      <c r="KA58" s="223"/>
      <c r="KB58" s="223"/>
      <c r="KC58" s="223"/>
      <c r="KD58" s="223"/>
      <c r="KE58" s="223"/>
      <c r="KF58" s="223"/>
      <c r="KG58" s="223"/>
      <c r="KH58" s="223"/>
      <c r="KI58" s="223"/>
      <c r="KJ58" s="223"/>
      <c r="KK58" s="223"/>
      <c r="KL58" s="223"/>
      <c r="KM58" s="223"/>
      <c r="KN58" s="223"/>
      <c r="KO58" s="223"/>
      <c r="KP58" s="223"/>
      <c r="KQ58" s="223"/>
      <c r="KR58" s="223"/>
      <c r="KS58" s="223"/>
      <c r="KT58" s="223"/>
      <c r="KU58"/>
      <c r="KV58"/>
      <c r="KW58"/>
      <c r="KX58"/>
      <c r="KY58"/>
      <c r="KZ58"/>
      <c r="LA58"/>
      <c r="LB58"/>
      <c r="LC58"/>
      <c r="LD58"/>
      <c r="LE58"/>
      <c r="LF58"/>
      <c r="LG58"/>
      <c r="LH58"/>
      <c r="LI58"/>
      <c r="LJ58"/>
      <c r="LK58"/>
      <c r="LL58"/>
      <c r="LM58"/>
      <c r="LN58"/>
      <c r="LO58"/>
      <c r="LP58" s="1535"/>
      <c r="LQ58"/>
      <c r="LR58"/>
      <c r="LS58"/>
      <c r="LT58"/>
      <c r="LU58"/>
      <c r="LV58"/>
      <c r="LW58"/>
      <c r="LX58"/>
      <c r="LY58"/>
      <c r="LZ58"/>
      <c r="MA58"/>
      <c r="MB58"/>
      <c r="MC58"/>
      <c r="MD58"/>
      <c r="ME58"/>
      <c r="MF58"/>
      <c r="MG58" s="223"/>
      <c r="MH58" s="223"/>
      <c r="MI58" s="223"/>
      <c r="MJ58" s="223"/>
      <c r="MK58" s="223"/>
      <c r="ML58" s="223"/>
      <c r="MM58" s="223"/>
      <c r="MN58" s="223"/>
      <c r="MO58" s="223"/>
      <c r="MP58" s="223"/>
      <c r="MQ58" s="223"/>
      <c r="MR58" s="223"/>
      <c r="MS58" s="223"/>
      <c r="MT58" s="223"/>
      <c r="MU58" s="223"/>
      <c r="MV58" s="223"/>
      <c r="MW58" s="223"/>
      <c r="MX58" s="223"/>
      <c r="MY58" s="223"/>
      <c r="MZ58" s="223"/>
      <c r="NA58" s="223"/>
      <c r="NB58" s="223"/>
      <c r="NC58" s="223"/>
      <c r="ND58" s="223"/>
      <c r="NE58" s="223"/>
      <c r="NF58" s="223"/>
      <c r="NG58" s="223"/>
      <c r="NH58" s="223"/>
      <c r="NI58" s="223"/>
      <c r="NJ58" s="223"/>
      <c r="NK58" s="223"/>
      <c r="NL58" s="223"/>
      <c r="NM58" s="223"/>
      <c r="NN58" s="223"/>
      <c r="NO58" s="223"/>
      <c r="NP58" s="223"/>
      <c r="NQ58" s="223"/>
      <c r="NR58" s="223"/>
      <c r="NS58" s="223"/>
      <c r="NT58" s="223"/>
      <c r="NU58" s="223"/>
      <c r="NV58" s="223"/>
      <c r="NW58" s="223"/>
      <c r="NX58" s="223"/>
      <c r="NY58" s="223"/>
      <c r="NZ58" s="223"/>
      <c r="OA58" s="223"/>
      <c r="OB58" s="223"/>
      <c r="OC58" s="223"/>
      <c r="OD58" s="223"/>
      <c r="OE58" s="223"/>
      <c r="OF58" s="223"/>
      <c r="OG58" s="223"/>
      <c r="OH58" s="223"/>
      <c r="OI58" s="223"/>
      <c r="OJ58" s="223"/>
      <c r="OK58" s="223"/>
      <c r="OL58" s="223"/>
      <c r="OM58" s="223"/>
      <c r="ON58" s="223"/>
      <c r="OO58" s="223"/>
      <c r="OP58" s="223"/>
      <c r="OQ58" s="223"/>
      <c r="OR58" s="223"/>
      <c r="OS58" s="223"/>
      <c r="OT58" s="223"/>
      <c r="OU58" s="223"/>
      <c r="OV58" s="223"/>
      <c r="OW58" s="223"/>
      <c r="OX58" s="223"/>
      <c r="OY58" s="223"/>
      <c r="OZ58" s="223"/>
      <c r="PA58" s="223"/>
      <c r="PB58" s="223"/>
      <c r="PC58" s="223"/>
      <c r="PD58" s="223"/>
      <c r="PE58" s="223"/>
      <c r="PF58" s="223"/>
      <c r="PG58" s="223"/>
      <c r="PH58" s="223"/>
      <c r="PI58" s="223"/>
      <c r="PJ58" s="223"/>
      <c r="PK58" s="223"/>
      <c r="PL58" s="223"/>
      <c r="PM58" s="223"/>
      <c r="PN58" s="223"/>
      <c r="PO58" s="223"/>
      <c r="PP58" s="223"/>
      <c r="PQ58" s="223"/>
      <c r="PR58" s="223"/>
      <c r="PS58" s="223"/>
      <c r="PT58" s="223"/>
      <c r="PU58" s="223"/>
      <c r="PV58" s="223"/>
      <c r="PW58" s="223"/>
      <c r="PX58" s="223"/>
      <c r="PY58" s="223"/>
      <c r="PZ58" s="223"/>
      <c r="QA58" s="223"/>
      <c r="QB58" s="223"/>
      <c r="QC58" s="223"/>
      <c r="QD58" s="223"/>
      <c r="QE58" s="223"/>
      <c r="QF58" s="223"/>
      <c r="QG58" s="223"/>
      <c r="QH58" s="223"/>
      <c r="QI58" s="223"/>
      <c r="QJ58" s="223"/>
      <c r="QK58" s="223"/>
      <c r="QL58" s="223"/>
      <c r="QM58" s="223"/>
      <c r="QN58" s="223"/>
      <c r="QO58" s="223"/>
      <c r="QP58" s="223"/>
      <c r="QQ58" s="223"/>
      <c r="QR58" s="223"/>
      <c r="QS58" s="223"/>
      <c r="QT58" s="223"/>
      <c r="QU58" s="223"/>
      <c r="QV58" s="223"/>
      <c r="QW58" s="223"/>
      <c r="QX58" s="223"/>
      <c r="QY58" s="223"/>
      <c r="QZ58" s="223"/>
      <c r="RA58" s="223"/>
      <c r="RB58" s="223"/>
      <c r="RC58" s="223"/>
      <c r="RD58" s="223"/>
      <c r="RE58" s="223"/>
      <c r="RF58" s="223"/>
      <c r="RG58" s="223"/>
      <c r="RH58" s="223"/>
      <c r="RI58" s="223"/>
      <c r="RJ58" s="223"/>
      <c r="RK58" s="223"/>
      <c r="RL58" s="223"/>
      <c r="RM58" s="223"/>
      <c r="RN58" s="223"/>
      <c r="RO58" s="223"/>
      <c r="RP58" s="223"/>
      <c r="RQ58" s="223"/>
      <c r="RR58" s="223"/>
      <c r="RS58" s="223"/>
      <c r="RT58" s="223"/>
      <c r="RU58" s="223"/>
      <c r="RV58" s="223"/>
      <c r="RW58" s="223"/>
      <c r="RX58" s="223"/>
      <c r="RY58" s="223"/>
      <c r="RZ58" s="223"/>
      <c r="SA58" s="223"/>
      <c r="SB58" s="223"/>
      <c r="SC58" s="223"/>
      <c r="SD58" s="223"/>
      <c r="SE58" s="223"/>
      <c r="SF58" s="223"/>
      <c r="SG58" s="223"/>
      <c r="SH58" s="223"/>
      <c r="SI58" s="223"/>
      <c r="SJ58" s="223"/>
      <c r="SK58" s="223"/>
      <c r="SL58" s="223"/>
      <c r="SM58" s="223"/>
      <c r="SN58" s="223"/>
      <c r="SO58" s="223"/>
      <c r="SP58" s="223"/>
      <c r="SQ58" s="223"/>
      <c r="SR58" s="223"/>
      <c r="SS58" s="223"/>
      <c r="ST58" s="223"/>
      <c r="SU58" s="223"/>
      <c r="SV58" s="223"/>
      <c r="SW58" s="223"/>
      <c r="SX58" s="223"/>
      <c r="SY58" s="223"/>
      <c r="SZ58" s="223"/>
      <c r="TA58" s="223"/>
      <c r="TB58" s="223"/>
      <c r="TC58" s="223"/>
      <c r="TD58" s="223"/>
      <c r="TE58" s="223"/>
      <c r="TF58" s="223"/>
      <c r="TG58" s="223"/>
      <c r="TH58" s="223"/>
      <c r="TI58" s="223"/>
      <c r="TJ58" s="223"/>
      <c r="TK58" s="223"/>
      <c r="TL58" s="223"/>
      <c r="TM58" s="223"/>
      <c r="TN58" s="223"/>
      <c r="TO58" s="223"/>
      <c r="TP58" s="223"/>
      <c r="TQ58" s="223"/>
      <c r="TR58" s="223"/>
      <c r="TS58" s="223"/>
      <c r="TT58" s="223"/>
      <c r="TU58" s="223"/>
      <c r="TV58" s="223"/>
      <c r="TW58" s="223"/>
      <c r="TX58" s="223"/>
      <c r="TY58" s="223"/>
      <c r="TZ58" s="223"/>
      <c r="UA58" s="223"/>
      <c r="UB58" s="223"/>
      <c r="UC58" s="223"/>
      <c r="UD58" s="223"/>
      <c r="UE58" s="223"/>
      <c r="UF58" s="223"/>
      <c r="UG58" s="223"/>
      <c r="UH58" s="223"/>
      <c r="UI58" s="223"/>
      <c r="UJ58" s="223"/>
      <c r="UK58" s="223"/>
      <c r="UL58" s="223"/>
      <c r="UM58" s="223"/>
      <c r="UN58" s="223"/>
      <c r="UO58" s="223"/>
      <c r="UP58" s="223"/>
      <c r="UQ58" s="223"/>
      <c r="UR58" s="223"/>
      <c r="US58" s="223"/>
      <c r="UT58" s="223"/>
      <c r="UU58" s="223"/>
      <c r="UV58" s="223"/>
      <c r="UW58" s="223"/>
      <c r="UX58" s="223"/>
      <c r="UY58" s="223"/>
      <c r="UZ58" s="223"/>
      <c r="VA58" s="223"/>
      <c r="VB58" s="223"/>
      <c r="VC58" s="223"/>
      <c r="VD58" s="223"/>
      <c r="VE58" s="223"/>
      <c r="VF58" s="223"/>
      <c r="VG58" s="223"/>
      <c r="VH58" s="223"/>
      <c r="VI58" s="223"/>
      <c r="VJ58" s="223"/>
      <c r="VK58" s="223"/>
      <c r="VL58" s="223"/>
      <c r="VM58" s="223"/>
      <c r="VN58" s="223"/>
      <c r="VO58" s="223"/>
      <c r="VP58" s="223"/>
      <c r="VQ58" s="223"/>
      <c r="VR58" s="223"/>
      <c r="VS58" s="223"/>
      <c r="VT58" s="223"/>
      <c r="VU58" s="223"/>
      <c r="VV58" s="223"/>
      <c r="VW58" s="223"/>
      <c r="VX58" s="223"/>
      <c r="VY58" s="223"/>
      <c r="VZ58" s="223"/>
      <c r="WA58" s="223"/>
      <c r="WB58" s="223"/>
      <c r="WC58" s="223"/>
      <c r="WD58" s="223"/>
      <c r="WE58" s="223"/>
      <c r="WF58" s="223"/>
      <c r="WG58" s="223"/>
      <c r="WH58" s="223"/>
      <c r="WI58" s="223"/>
      <c r="WJ58" s="223"/>
      <c r="WK58" s="223"/>
      <c r="WL58" s="223"/>
      <c r="WM58" s="223"/>
      <c r="WN58" s="223"/>
    </row>
    <row r="59" spans="1:612" s="934" customFormat="1" x14ac:dyDescent="0.25">
      <c r="A59" s="929" t="s">
        <v>232</v>
      </c>
      <c r="B59" s="930">
        <f>CS59+DA59+DQ59+HK59+HQ59+IQ59+JK59+'Проверочная  таблица'!KO59+'Прочая  субсидия_БП'!D29+BU59+CE59+AK59+AW59</f>
        <v>17385342.280000001</v>
      </c>
      <c r="C59" s="930">
        <f>CT59+DB59+DX59+HN59+HT59+JA59+JP59+'Проверочная  таблица'!KS59+'Прочая  субсидия_МР  и  ГО'!C48+'Прочая  субсидия_БП'!E29+BZ59+CJ59+AQ59+BA59</f>
        <v>15177597.560000002</v>
      </c>
      <c r="D59" s="1052">
        <f t="shared" si="641"/>
        <v>17385.342280000001</v>
      </c>
      <c r="E59" s="1052">
        <f t="shared" si="641"/>
        <v>15177.597560000002</v>
      </c>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849">
        <f t="shared" si="635"/>
        <v>0</v>
      </c>
      <c r="AL59" s="936"/>
      <c r="AM59" s="223"/>
      <c r="AN59" s="223"/>
      <c r="AO59" s="936"/>
      <c r="AP59" s="936"/>
      <c r="AQ59" s="849">
        <f t="shared" si="636"/>
        <v>0</v>
      </c>
      <c r="AR59" s="936"/>
      <c r="AS59" s="223"/>
      <c r="AT59" s="223"/>
      <c r="AU59" s="936"/>
      <c r="AV59" s="936"/>
      <c r="AW59" s="849">
        <f t="shared" si="638"/>
        <v>0</v>
      </c>
      <c r="AX59" s="936">
        <f>BF37</f>
        <v>0</v>
      </c>
      <c r="AY59" s="223"/>
      <c r="AZ59" s="936">
        <f>BH37</f>
        <v>0</v>
      </c>
      <c r="BA59" s="849">
        <f t="shared" si="640"/>
        <v>0</v>
      </c>
      <c r="BB59" s="936">
        <f>BJ37</f>
        <v>0</v>
      </c>
      <c r="BC59" s="223"/>
      <c r="BD59" s="936">
        <f>BL37</f>
        <v>0</v>
      </c>
      <c r="BE59" s="223"/>
      <c r="BF59" s="223"/>
      <c r="BG59" s="223"/>
      <c r="BH59" s="223"/>
      <c r="BI59" s="223"/>
      <c r="BJ59" s="223"/>
      <c r="BK59" s="223"/>
      <c r="BL59" s="223"/>
      <c r="BM59" s="223"/>
      <c r="BN59" s="223"/>
      <c r="BO59" s="223"/>
      <c r="BP59" s="223"/>
      <c r="BQ59" s="223"/>
      <c r="BR59" s="223"/>
      <c r="BS59" s="223"/>
      <c r="BT59" s="223"/>
      <c r="BU59" s="225"/>
      <c r="BV59" s="223"/>
      <c r="BW59" s="223"/>
      <c r="BX59" s="223"/>
      <c r="BY59"/>
      <c r="BZ59" s="225"/>
      <c r="CA59" s="223"/>
      <c r="CB59" s="223"/>
      <c r="CC59" s="223"/>
      <c r="CD59"/>
      <c r="CE59" s="225"/>
      <c r="CF59" s="223"/>
      <c r="CG59" s="223"/>
      <c r="CH59" s="223"/>
      <c r="CI59"/>
      <c r="CJ59" s="225"/>
      <c r="CK59" s="223"/>
      <c r="CL59" s="223"/>
      <c r="CM59" s="223"/>
      <c r="CN59"/>
      <c r="CO59" s="223"/>
      <c r="CP59" s="223"/>
      <c r="CQ59" s="223"/>
      <c r="CR59" s="223"/>
      <c r="CS59" s="225">
        <f>CW37</f>
        <v>4288396.5500000007</v>
      </c>
      <c r="CT59" s="225">
        <f>CX37</f>
        <v>3430717.25</v>
      </c>
      <c r="CU59" s="223"/>
      <c r="CV59" s="223"/>
      <c r="CW59" s="223"/>
      <c r="CX59" s="223"/>
      <c r="CY59" s="223"/>
      <c r="CZ59" s="223"/>
      <c r="DA59" s="225">
        <f>DE37</f>
        <v>1599701.3900000006</v>
      </c>
      <c r="DB59" s="225">
        <f>DF37</f>
        <v>1279761.1100000003</v>
      </c>
      <c r="DC59" s="223"/>
      <c r="DD59" s="223"/>
      <c r="DE59" s="223"/>
      <c r="DF59" s="223"/>
      <c r="DG59" s="223"/>
      <c r="DH59" s="223"/>
      <c r="DI59" s="849"/>
      <c r="DJ59" s="849"/>
      <c r="DK59" s="237"/>
      <c r="DL59" s="237"/>
      <c r="DM59" s="849"/>
      <c r="DN59" s="849"/>
      <c r="DO59" s="223"/>
      <c r="DP59" s="223"/>
      <c r="DQ59" s="225"/>
      <c r="DR59" s="223"/>
      <c r="DS59" s="223"/>
      <c r="DT59" s="223"/>
      <c r="DU59" s="223"/>
      <c r="DV59" s="223"/>
      <c r="DW59" s="223"/>
      <c r="DX59" s="225"/>
      <c r="DY59" s="223"/>
      <c r="DZ59" s="223"/>
      <c r="EA59" s="223"/>
      <c r="EB59" s="223"/>
      <c r="EC59" s="223"/>
      <c r="ED59" s="223"/>
      <c r="EE59" s="223"/>
      <c r="EF59" s="223"/>
      <c r="EG59" s="223"/>
      <c r="EH59" s="223"/>
      <c r="EI59" s="223"/>
      <c r="EJ59" s="223"/>
      <c r="EK59" s="223"/>
      <c r="EL59" s="223"/>
      <c r="EM59" s="223"/>
      <c r="EN59" s="223"/>
      <c r="EO59" s="223"/>
      <c r="EP59" s="223"/>
      <c r="EQ59" s="223"/>
      <c r="ER59" s="223"/>
      <c r="ES59" s="223"/>
      <c r="ET59" s="223"/>
      <c r="EU59" s="223"/>
      <c r="EV59" s="223"/>
      <c r="EW59" s="223"/>
      <c r="EX59" s="223"/>
      <c r="EY59" s="223"/>
      <c r="EZ59" s="223"/>
      <c r="FA59" s="223"/>
      <c r="FB59" s="223"/>
      <c r="FC59" s="223"/>
      <c r="FD59" s="223"/>
      <c r="FE59" s="223"/>
      <c r="FF59" s="223"/>
      <c r="FG59" s="223"/>
      <c r="FH59" s="223"/>
      <c r="FI59" s="223"/>
      <c r="FJ59" s="223"/>
      <c r="FK59" s="223"/>
      <c r="FL59" s="223"/>
      <c r="FM59" s="223"/>
      <c r="FN59" s="223"/>
      <c r="FO59" s="223"/>
      <c r="FP59" s="223"/>
      <c r="FQ59" s="223"/>
      <c r="FR59" s="223"/>
      <c r="FS59" s="223"/>
      <c r="FT59" s="223"/>
      <c r="FU59" s="223"/>
      <c r="FV59" s="223"/>
      <c r="FW59" s="223"/>
      <c r="FX59" s="223"/>
      <c r="FY59" s="223"/>
      <c r="FZ59" s="223"/>
      <c r="GA59" s="223"/>
      <c r="GB59" s="223"/>
      <c r="GC59" s="223"/>
      <c r="GD59" s="223"/>
      <c r="GE59" s="223"/>
      <c r="GF59" s="223"/>
      <c r="GG59" s="223"/>
      <c r="GH59" s="223"/>
      <c r="GI59" s="223"/>
      <c r="GJ59" s="223"/>
      <c r="GK59" s="223"/>
      <c r="GL59" s="223"/>
      <c r="GM59" s="223"/>
      <c r="GN59" s="223"/>
      <c r="GO59" s="223"/>
      <c r="GP59" s="223"/>
      <c r="GQ59" s="223"/>
      <c r="GR59" s="223"/>
      <c r="GS59" s="223"/>
      <c r="GT59" s="223"/>
      <c r="GU59" s="223"/>
      <c r="GV59" s="223"/>
      <c r="GW59" s="223"/>
      <c r="GX59" s="223"/>
      <c r="GY59" s="223"/>
      <c r="GZ59" s="223"/>
      <c r="HA59" s="223"/>
      <c r="HB59" s="223"/>
      <c r="HC59" s="223"/>
      <c r="HD59" s="223"/>
      <c r="HE59" s="223"/>
      <c r="HF59" s="223"/>
      <c r="HG59" s="223"/>
      <c r="HH59" s="223"/>
      <c r="HI59" s="223"/>
      <c r="HJ59" s="223"/>
      <c r="HK59" s="225"/>
      <c r="HL59" s="223"/>
      <c r="HM59" s="223"/>
      <c r="HN59" s="225"/>
      <c r="HO59" s="223"/>
      <c r="HP59" s="223"/>
      <c r="HQ59" s="225">
        <f>'Проверочная  таблица'!IE37</f>
        <v>11497244.34</v>
      </c>
      <c r="HR59" s="225"/>
      <c r="HS59" s="225"/>
      <c r="HT59" s="225">
        <f>'Проверочная  таблица'!IH37</f>
        <v>10467119.200000001</v>
      </c>
      <c r="HU59" s="225"/>
      <c r="HV59" s="225"/>
      <c r="HW59" s="223"/>
      <c r="HX59" s="223"/>
      <c r="HY59" s="223"/>
      <c r="HZ59" s="223"/>
      <c r="IA59" s="223"/>
      <c r="IB59" s="223"/>
      <c r="IC59" s="223"/>
      <c r="ID59" s="223"/>
      <c r="IQ59" s="935">
        <f>SUM(IT59:IZ59)</f>
        <v>0</v>
      </c>
      <c r="IR59" s="935"/>
      <c r="IS59" s="935"/>
      <c r="IT59" s="223"/>
      <c r="IU59" s="223"/>
      <c r="IV59" s="223"/>
      <c r="IW59" s="223"/>
      <c r="IX59" s="223"/>
      <c r="IY59" s="223"/>
      <c r="IZ59" s="223"/>
      <c r="JA59" s="935">
        <f>SUM(JD59:JJ59)</f>
        <v>0</v>
      </c>
      <c r="JB59" s="935"/>
      <c r="JC59" s="935"/>
      <c r="JD59" s="223"/>
      <c r="JE59" s="223"/>
      <c r="JF59" s="223"/>
      <c r="JG59" s="223"/>
      <c r="JH59" s="223"/>
      <c r="JI59" s="223"/>
      <c r="JJ59" s="223"/>
      <c r="JK59" s="935">
        <f>SUM(JN59:JO59)</f>
        <v>0</v>
      </c>
      <c r="JL59" s="935"/>
      <c r="JM59" s="935"/>
      <c r="JN59" s="223"/>
      <c r="JO59" s="223"/>
      <c r="JP59" s="935">
        <f>SUM(JS59:JT59)</f>
        <v>0</v>
      </c>
      <c r="JQ59" s="935"/>
      <c r="JR59" s="935"/>
      <c r="JS59" s="223"/>
      <c r="JT59" s="223"/>
      <c r="JU59" s="223"/>
      <c r="JV59" s="223"/>
      <c r="JW59" s="223"/>
      <c r="JX59" s="223"/>
      <c r="JY59" s="223"/>
      <c r="JZ59" s="223"/>
      <c r="KA59" s="223"/>
      <c r="KB59" s="223"/>
      <c r="KC59" s="223"/>
      <c r="KD59" s="223"/>
      <c r="KE59" s="223"/>
      <c r="KF59" s="223"/>
      <c r="KG59" s="223"/>
      <c r="KH59" s="223"/>
      <c r="KI59" s="223"/>
      <c r="KJ59" s="223"/>
      <c r="KK59" s="223"/>
      <c r="KL59" s="223"/>
      <c r="KM59" s="223"/>
      <c r="KN59" s="223"/>
      <c r="KO59" s="223"/>
      <c r="KP59" s="223"/>
      <c r="KQ59" s="223"/>
      <c r="KR59" s="223"/>
      <c r="KS59" s="223"/>
      <c r="KT59" s="223"/>
      <c r="KU59"/>
      <c r="KV59"/>
      <c r="KW59"/>
      <c r="KX59"/>
      <c r="KY59"/>
      <c r="KZ59"/>
      <c r="LA59"/>
      <c r="LB59"/>
      <c r="LC59"/>
      <c r="LD59"/>
      <c r="LE59"/>
      <c r="LF59"/>
      <c r="LG59"/>
      <c r="LH59"/>
      <c r="LI59"/>
      <c r="LJ59"/>
      <c r="LK59"/>
      <c r="LL59"/>
      <c r="LM59"/>
      <c r="LN59"/>
      <c r="LO59"/>
      <c r="LP59" s="1535"/>
      <c r="LQ59"/>
      <c r="LR59"/>
      <c r="LS59"/>
      <c r="LT59"/>
      <c r="LU59"/>
      <c r="LV59"/>
      <c r="LW59"/>
      <c r="LX59"/>
      <c r="LY59"/>
      <c r="LZ59"/>
      <c r="MA59"/>
      <c r="MB59"/>
      <c r="MC59"/>
      <c r="MD59"/>
      <c r="ME59"/>
      <c r="MF59"/>
      <c r="MG59" s="223"/>
      <c r="MH59" s="223"/>
      <c r="MI59" s="223"/>
      <c r="MJ59" s="223"/>
      <c r="MK59" s="223"/>
      <c r="ML59" s="223"/>
      <c r="MM59" s="223"/>
      <c r="MN59" s="223"/>
      <c r="MO59" s="223"/>
      <c r="MP59" s="223"/>
      <c r="MQ59" s="223"/>
      <c r="MR59" s="223"/>
      <c r="MS59" s="223"/>
      <c r="MT59" s="223"/>
      <c r="MU59" s="223"/>
      <c r="MV59" s="223"/>
      <c r="MW59" s="223"/>
      <c r="MX59" s="223"/>
      <c r="MY59" s="223"/>
      <c r="MZ59" s="223"/>
      <c r="NA59" s="223"/>
      <c r="NB59" s="223"/>
      <c r="NC59" s="223"/>
      <c r="ND59" s="223"/>
      <c r="NE59" s="223"/>
      <c r="NF59" s="223"/>
      <c r="NG59" s="223"/>
      <c r="NH59" s="223"/>
      <c r="NI59" s="223"/>
      <c r="NJ59" s="223"/>
      <c r="NK59" s="223"/>
      <c r="NL59" s="223"/>
      <c r="NM59" s="223"/>
      <c r="NN59" s="223"/>
      <c r="NO59" s="223"/>
      <c r="NP59" s="223"/>
      <c r="NQ59" s="223"/>
      <c r="NR59" s="223"/>
      <c r="NS59" s="223"/>
      <c r="NT59" s="223"/>
      <c r="NU59" s="223"/>
      <c r="NV59" s="223"/>
      <c r="NW59" s="223"/>
      <c r="NX59" s="223"/>
      <c r="NY59" s="223"/>
      <c r="NZ59" s="223"/>
      <c r="OA59" s="223"/>
      <c r="OB59" s="223"/>
      <c r="OC59" s="223"/>
      <c r="OD59" s="223"/>
      <c r="OE59" s="223"/>
      <c r="OF59" s="223"/>
      <c r="OG59" s="223"/>
      <c r="OH59" s="223"/>
      <c r="OI59" s="223"/>
      <c r="OJ59" s="223"/>
      <c r="OK59" s="223"/>
      <c r="OL59" s="223"/>
      <c r="OM59" s="223"/>
      <c r="ON59" s="223"/>
      <c r="OO59" s="223"/>
      <c r="OP59" s="223"/>
      <c r="OQ59" s="223"/>
      <c r="OR59" s="223"/>
      <c r="OS59" s="223"/>
      <c r="OT59" s="223"/>
      <c r="OU59" s="223"/>
      <c r="OV59" s="223"/>
      <c r="OW59" s="223"/>
      <c r="OX59" s="223"/>
      <c r="OY59" s="223"/>
      <c r="OZ59" s="223"/>
      <c r="PA59" s="223"/>
      <c r="PB59" s="223"/>
      <c r="PC59" s="223"/>
      <c r="PD59" s="223"/>
      <c r="PE59" s="223"/>
      <c r="PF59" s="223"/>
      <c r="PG59" s="223"/>
      <c r="PH59" s="223"/>
      <c r="PI59" s="223"/>
      <c r="PJ59" s="223"/>
      <c r="PK59" s="223"/>
      <c r="PL59" s="223"/>
      <c r="PM59" s="223"/>
      <c r="PN59" s="223"/>
      <c r="PO59" s="223"/>
      <c r="PP59" s="223"/>
      <c r="PQ59" s="223"/>
      <c r="PR59" s="223"/>
      <c r="PS59" s="223"/>
      <c r="PT59" s="223"/>
      <c r="PU59" s="223"/>
      <c r="PV59" s="223"/>
      <c r="PW59" s="223"/>
      <c r="PX59" s="223"/>
      <c r="PY59" s="223"/>
      <c r="PZ59" s="223"/>
      <c r="QA59" s="223"/>
      <c r="QB59" s="223"/>
      <c r="QC59" s="223"/>
      <c r="QD59" s="223"/>
      <c r="QE59" s="223"/>
      <c r="QF59" s="223"/>
      <c r="QG59" s="223"/>
      <c r="QH59" s="223"/>
      <c r="QI59" s="223"/>
      <c r="QJ59" s="223"/>
      <c r="QK59" s="223"/>
      <c r="QL59" s="223"/>
      <c r="QM59" s="223"/>
      <c r="QN59" s="223"/>
      <c r="QO59" s="223"/>
      <c r="QP59" s="223"/>
      <c r="QQ59" s="223"/>
      <c r="QR59" s="223"/>
      <c r="QS59" s="223"/>
      <c r="QT59" s="223"/>
      <c r="QU59" s="223"/>
      <c r="QV59" s="223"/>
      <c r="QW59" s="223"/>
      <c r="QX59" s="223"/>
      <c r="QY59" s="223"/>
      <c r="QZ59" s="223"/>
      <c r="RA59" s="223"/>
      <c r="RB59" s="223"/>
      <c r="RC59" s="223"/>
      <c r="RD59" s="223"/>
      <c r="RE59" s="223"/>
      <c r="RF59" s="223"/>
      <c r="RG59" s="223"/>
      <c r="RH59" s="223"/>
      <c r="RI59" s="223"/>
      <c r="RJ59" s="223"/>
      <c r="RK59" s="223"/>
      <c r="RL59" s="223"/>
      <c r="RM59" s="223"/>
      <c r="RN59" s="223"/>
      <c r="RO59" s="223"/>
      <c r="RP59" s="223"/>
      <c r="RQ59" s="223"/>
      <c r="RR59" s="223"/>
      <c r="RS59" s="223"/>
      <c r="RT59" s="223"/>
      <c r="RU59" s="223"/>
      <c r="RV59" s="223"/>
      <c r="RW59" s="223"/>
      <c r="RX59" s="223"/>
      <c r="RY59" s="223"/>
      <c r="RZ59" s="223"/>
      <c r="SA59" s="223"/>
      <c r="SB59" s="223"/>
      <c r="SC59" s="223"/>
      <c r="SD59" s="223"/>
      <c r="SE59" s="223"/>
      <c r="SF59" s="223"/>
      <c r="SG59" s="223"/>
      <c r="SH59" s="223"/>
      <c r="SI59" s="223"/>
      <c r="SJ59" s="223"/>
      <c r="SK59" s="223"/>
      <c r="SL59" s="223"/>
      <c r="SM59" s="223"/>
      <c r="SN59" s="223"/>
      <c r="SO59" s="223"/>
      <c r="SP59" s="223"/>
      <c r="SQ59" s="223"/>
      <c r="SR59" s="223"/>
      <c r="SS59" s="223"/>
      <c r="ST59" s="223"/>
      <c r="SU59" s="223"/>
      <c r="SV59" s="223"/>
      <c r="SW59" s="223"/>
      <c r="SX59" s="223"/>
      <c r="SY59" s="223"/>
      <c r="SZ59" s="223"/>
      <c r="TA59" s="223"/>
      <c r="TB59" s="223"/>
      <c r="TC59" s="223"/>
      <c r="TD59" s="223"/>
      <c r="TE59" s="223"/>
      <c r="TF59" s="223"/>
      <c r="TG59" s="223"/>
      <c r="TH59" s="223"/>
      <c r="TI59" s="223"/>
      <c r="TJ59" s="223"/>
      <c r="TK59" s="223"/>
      <c r="TL59" s="223"/>
      <c r="TM59" s="223"/>
      <c r="TN59" s="223"/>
      <c r="TO59" s="223"/>
      <c r="TP59" s="223"/>
      <c r="TQ59" s="223"/>
      <c r="TR59" s="223"/>
      <c r="TS59" s="223"/>
      <c r="TT59" s="223"/>
      <c r="TU59" s="223"/>
      <c r="TV59" s="223"/>
      <c r="TW59" s="223"/>
      <c r="TX59" s="223"/>
      <c r="TY59" s="223"/>
      <c r="TZ59" s="223"/>
      <c r="UA59" s="223"/>
      <c r="UB59" s="223"/>
      <c r="UC59" s="223"/>
      <c r="UD59" s="223"/>
      <c r="UE59" s="223"/>
      <c r="UF59" s="223"/>
      <c r="UG59" s="223"/>
      <c r="UH59" s="223"/>
      <c r="UI59" s="223"/>
      <c r="UJ59" s="223"/>
      <c r="UK59" s="223"/>
      <c r="UL59" s="223"/>
      <c r="UM59" s="223"/>
      <c r="UN59" s="223"/>
      <c r="UO59" s="223"/>
      <c r="UP59" s="223"/>
      <c r="UQ59" s="223"/>
      <c r="UR59" s="223"/>
      <c r="US59" s="223"/>
      <c r="UT59" s="223"/>
      <c r="UU59" s="223"/>
      <c r="UV59" s="223"/>
      <c r="UW59" s="223"/>
      <c r="UX59" s="223"/>
      <c r="UY59" s="223"/>
      <c r="UZ59" s="223"/>
      <c r="VA59" s="223"/>
      <c r="VB59" s="223"/>
      <c r="VC59" s="223"/>
      <c r="VD59" s="223"/>
      <c r="VE59" s="223"/>
      <c r="VF59" s="223"/>
      <c r="VG59" s="223"/>
      <c r="VH59" s="223"/>
      <c r="VI59" s="223"/>
      <c r="VJ59" s="223"/>
      <c r="VK59" s="223"/>
      <c r="VL59" s="223"/>
      <c r="VM59" s="223"/>
      <c r="VN59" s="223"/>
      <c r="VO59" s="223"/>
      <c r="VP59" s="223"/>
      <c r="VQ59" s="223"/>
      <c r="VR59" s="223"/>
      <c r="VS59" s="223"/>
      <c r="VT59" s="223"/>
      <c r="VU59" s="223"/>
      <c r="VV59" s="223"/>
      <c r="VW59" s="223"/>
      <c r="VX59" s="223"/>
      <c r="VY59" s="223"/>
      <c r="VZ59" s="223"/>
      <c r="WA59" s="223"/>
      <c r="WB59" s="223"/>
      <c r="WC59" s="223"/>
      <c r="WD59" s="223"/>
      <c r="WE59" s="223"/>
      <c r="WF59" s="223"/>
      <c r="WG59" s="223"/>
      <c r="WH59" s="223"/>
      <c r="WI59" s="223"/>
      <c r="WJ59" s="223"/>
      <c r="WK59" s="223"/>
      <c r="WL59" s="223"/>
      <c r="WM59" s="223"/>
      <c r="WN59" s="223"/>
    </row>
    <row r="60" spans="1:612" s="934" customFormat="1" x14ac:dyDescent="0.25">
      <c r="A60" s="929" t="s">
        <v>59</v>
      </c>
      <c r="B60" s="930">
        <f>CS60+DA60+DQ60+HK60+HQ60+IQ60+JK60+'Проверочная  таблица'!KO60+'Прочая  субсидия_БП'!F29+BU60+CE60+AW60+AK60</f>
        <v>211450975.78000003</v>
      </c>
      <c r="C60" s="930">
        <f>CT60+DB60+DX60+HN60+HT60+JA60+JP60+'Проверочная  таблица'!KS60+'Прочая  субсидия_МР  и  ГО'!C49+'Прочая  субсидия_БП'!G29+BZ60+CJ60+BA60+AQ60</f>
        <v>177001333.20000002</v>
      </c>
      <c r="D60" s="1052">
        <f t="shared" si="641"/>
        <v>211450.97578000004</v>
      </c>
      <c r="E60" s="1052">
        <f t="shared" si="641"/>
        <v>177001.33320000002</v>
      </c>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849">
        <f t="shared" si="635"/>
        <v>0</v>
      </c>
      <c r="AL60" s="936"/>
      <c r="AM60" s="223"/>
      <c r="AN60" s="223"/>
      <c r="AO60" s="936"/>
      <c r="AP60" s="936"/>
      <c r="AQ60" s="849">
        <f t="shared" si="636"/>
        <v>0</v>
      </c>
      <c r="AR60" s="936"/>
      <c r="AS60" s="223"/>
      <c r="AT60" s="223"/>
      <c r="AU60" s="936"/>
      <c r="AV60" s="936"/>
      <c r="AW60" s="849">
        <f t="shared" si="638"/>
        <v>0</v>
      </c>
      <c r="AX60" s="936">
        <f>BN37</f>
        <v>0</v>
      </c>
      <c r="AY60" s="223"/>
      <c r="AZ60" s="936">
        <f>BP37</f>
        <v>0</v>
      </c>
      <c r="BA60" s="849">
        <f t="shared" si="640"/>
        <v>0</v>
      </c>
      <c r="BB60" s="936">
        <f>BR37</f>
        <v>0</v>
      </c>
      <c r="BC60" s="223"/>
      <c r="BD60" s="936">
        <f>BT37</f>
        <v>0</v>
      </c>
      <c r="BE60" s="223"/>
      <c r="BF60" s="223"/>
      <c r="BG60" s="223"/>
      <c r="BH60" s="223"/>
      <c r="BI60" s="223"/>
      <c r="BJ60" s="223"/>
      <c r="BK60" s="223"/>
      <c r="BL60" s="223"/>
      <c r="BM60" s="223"/>
      <c r="BN60" s="223"/>
      <c r="BO60" s="223"/>
      <c r="BP60" s="223"/>
      <c r="BQ60" s="223"/>
      <c r="BR60" s="223"/>
      <c r="BS60" s="223"/>
      <c r="BT60" s="223"/>
      <c r="BU60" s="225"/>
      <c r="BV60" s="223"/>
      <c r="BW60" s="223"/>
      <c r="BX60" s="223"/>
      <c r="BY60"/>
      <c r="BZ60" s="225"/>
      <c r="CA60" s="223"/>
      <c r="CB60" s="223"/>
      <c r="CC60" s="223"/>
      <c r="CD60"/>
      <c r="CE60" s="225">
        <f>CF37</f>
        <v>0</v>
      </c>
      <c r="CF60" s="223"/>
      <c r="CG60" s="223"/>
      <c r="CH60" s="223"/>
      <c r="CI60"/>
      <c r="CJ60" s="225">
        <f>CK37</f>
        <v>0</v>
      </c>
      <c r="CK60" s="223"/>
      <c r="CL60" s="223"/>
      <c r="CM60" s="223"/>
      <c r="CN60"/>
      <c r="CO60" s="223"/>
      <c r="CP60" s="223"/>
      <c r="CQ60" s="223"/>
      <c r="CR60" s="223"/>
      <c r="CS60" s="225">
        <f>CY37</f>
        <v>186872900.63000003</v>
      </c>
      <c r="CT60" s="225">
        <f>CZ37</f>
        <v>157393459.07000002</v>
      </c>
      <c r="CU60" s="223"/>
      <c r="CV60" s="223"/>
      <c r="CW60" s="223"/>
      <c r="CX60" s="223"/>
      <c r="CY60" s="223"/>
      <c r="CZ60" s="223"/>
      <c r="DA60" s="225">
        <f>DG37</f>
        <v>21711828.579999998</v>
      </c>
      <c r="DB60" s="225">
        <f>DH37</f>
        <v>17847959.290000003</v>
      </c>
      <c r="DC60" s="223"/>
      <c r="DD60" s="223"/>
      <c r="DE60" s="223"/>
      <c r="DF60" s="223"/>
      <c r="DG60" s="223"/>
      <c r="DH60" s="223"/>
      <c r="DI60" s="849"/>
      <c r="DJ60" s="849"/>
      <c r="DK60" s="237"/>
      <c r="DL60" s="237"/>
      <c r="DM60" s="849"/>
      <c r="DN60" s="849"/>
      <c r="DO60" s="223"/>
      <c r="DP60" s="223"/>
      <c r="DQ60" s="225"/>
      <c r="DR60" s="223"/>
      <c r="DS60" s="223"/>
      <c r="DT60" s="223"/>
      <c r="DU60" s="223"/>
      <c r="DV60" s="223"/>
      <c r="DW60" s="223"/>
      <c r="DX60" s="225"/>
      <c r="DY60" s="223"/>
      <c r="DZ60" s="223"/>
      <c r="EA60" s="223"/>
      <c r="EB60" s="223"/>
      <c r="EC60" s="223"/>
      <c r="ED60" s="223"/>
      <c r="EE60" s="223"/>
      <c r="EF60" s="223"/>
      <c r="EG60" s="223"/>
      <c r="EH60" s="223"/>
      <c r="EI60" s="223"/>
      <c r="EJ60" s="223"/>
      <c r="EK60" s="223"/>
      <c r="EL60" s="223"/>
      <c r="EM60" s="223"/>
      <c r="EN60" s="223"/>
      <c r="EO60" s="223"/>
      <c r="EP60" s="223"/>
      <c r="EQ60" s="223"/>
      <c r="ER60" s="223"/>
      <c r="ES60" s="223"/>
      <c r="ET60" s="223"/>
      <c r="EU60" s="223"/>
      <c r="EV60" s="223"/>
      <c r="EW60" s="223"/>
      <c r="EX60" s="223"/>
      <c r="EY60" s="223"/>
      <c r="EZ60" s="223"/>
      <c r="FA60" s="223"/>
      <c r="FB60" s="223"/>
      <c r="FC60" s="223"/>
      <c r="FD60" s="223"/>
      <c r="FE60" s="223"/>
      <c r="FF60" s="223"/>
      <c r="FG60" s="223"/>
      <c r="FH60" s="223"/>
      <c r="FI60" s="223"/>
      <c r="FJ60" s="223"/>
      <c r="FK60" s="223"/>
      <c r="FL60" s="223"/>
      <c r="FM60" s="223"/>
      <c r="FN60" s="223"/>
      <c r="FO60" s="223"/>
      <c r="FP60" s="223"/>
      <c r="FQ60" s="223"/>
      <c r="FR60" s="223"/>
      <c r="FS60" s="223"/>
      <c r="FT60" s="223"/>
      <c r="FU60" s="223"/>
      <c r="FV60" s="223"/>
      <c r="FW60" s="223"/>
      <c r="FX60" s="223"/>
      <c r="FY60" s="223"/>
      <c r="FZ60" s="223"/>
      <c r="GA60" s="223"/>
      <c r="GB60" s="223"/>
      <c r="GC60" s="223"/>
      <c r="GD60" s="223"/>
      <c r="GE60" s="223"/>
      <c r="GF60" s="223"/>
      <c r="GG60" s="223"/>
      <c r="GH60" s="223"/>
      <c r="GI60" s="223"/>
      <c r="GJ60" s="223"/>
      <c r="GK60" s="223"/>
      <c r="GL60" s="223"/>
      <c r="GM60" s="223"/>
      <c r="GN60" s="223"/>
      <c r="GO60" s="223"/>
      <c r="GP60" s="223"/>
      <c r="GQ60" s="223"/>
      <c r="GR60" s="223"/>
      <c r="GS60" s="223"/>
      <c r="GT60" s="223"/>
      <c r="GU60" s="223"/>
      <c r="GV60" s="223"/>
      <c r="GW60" s="223"/>
      <c r="GX60" s="223"/>
      <c r="GY60" s="223"/>
      <c r="GZ60" s="223"/>
      <c r="HA60" s="223"/>
      <c r="HB60" s="223"/>
      <c r="HC60" s="223"/>
      <c r="HD60" s="223"/>
      <c r="HE60" s="223"/>
      <c r="HF60" s="223"/>
      <c r="HG60" s="223"/>
      <c r="HH60" s="223"/>
      <c r="HI60" s="223"/>
      <c r="HJ60" s="223"/>
      <c r="HK60" s="225"/>
      <c r="HL60" s="223"/>
      <c r="HM60" s="223"/>
      <c r="HN60" s="225"/>
      <c r="HO60" s="223"/>
      <c r="HP60" s="223"/>
      <c r="HQ60" s="225">
        <f>'Проверочная  таблица'!IK37</f>
        <v>2866246.5700000003</v>
      </c>
      <c r="HR60" s="225"/>
      <c r="HS60" s="225"/>
      <c r="HT60" s="225">
        <f>'Проверочная  таблица'!IN37</f>
        <v>1759914.8400000003</v>
      </c>
      <c r="HU60" s="225"/>
      <c r="HV60" s="225"/>
      <c r="HW60" s="223"/>
      <c r="HX60" s="223"/>
      <c r="HY60" s="223"/>
      <c r="HZ60" s="223"/>
      <c r="IA60" s="223"/>
      <c r="IB60" s="223"/>
      <c r="IC60" s="223"/>
      <c r="ID60" s="223"/>
      <c r="IQ60" s="935">
        <f>SUM(IT60:IZ60)</f>
        <v>0</v>
      </c>
      <c r="IR60" s="935"/>
      <c r="IS60" s="935"/>
      <c r="IT60" s="223"/>
      <c r="IU60" s="223"/>
      <c r="IV60" s="223"/>
      <c r="IW60" s="223"/>
      <c r="IX60" s="223"/>
      <c r="IY60" s="223"/>
      <c r="IZ60" s="223"/>
      <c r="JA60" s="935">
        <f>SUM(JD60:JJ60)</f>
        <v>0</v>
      </c>
      <c r="JB60" s="935"/>
      <c r="JC60" s="935"/>
      <c r="JD60" s="223"/>
      <c r="JE60" s="223"/>
      <c r="JF60" s="223"/>
      <c r="JG60" s="223"/>
      <c r="JH60" s="223"/>
      <c r="JI60" s="223"/>
      <c r="JJ60" s="223"/>
      <c r="JK60" s="935">
        <f>SUM(JN60:JO60)</f>
        <v>0</v>
      </c>
      <c r="JL60" s="935"/>
      <c r="JM60" s="935"/>
      <c r="JN60" s="223"/>
      <c r="JO60" s="223"/>
      <c r="JP60" s="935">
        <f>SUM(JS60:JT60)</f>
        <v>0</v>
      </c>
      <c r="JQ60" s="935"/>
      <c r="JR60" s="935"/>
      <c r="JS60" s="223"/>
      <c r="JT60" s="223"/>
      <c r="JU60" s="223"/>
      <c r="JV60" s="223"/>
      <c r="JW60" s="223"/>
      <c r="JX60" s="223"/>
      <c r="JY60" s="223"/>
      <c r="JZ60" s="223"/>
      <c r="KA60" s="223"/>
      <c r="KB60" s="223"/>
      <c r="KC60" s="223"/>
      <c r="KD60" s="223"/>
      <c r="KE60" s="223"/>
      <c r="KF60" s="223"/>
      <c r="KG60" s="223"/>
      <c r="KH60" s="223"/>
      <c r="KI60" s="223"/>
      <c r="KJ60" s="223"/>
      <c r="KK60" s="223"/>
      <c r="KL60" s="223"/>
      <c r="KM60" s="223"/>
      <c r="KN60" s="223"/>
      <c r="KO60" s="223"/>
      <c r="KP60" s="223"/>
      <c r="KQ60" s="223"/>
      <c r="KR60" s="223"/>
      <c r="KS60" s="223"/>
      <c r="KT60" s="223"/>
      <c r="KU60"/>
      <c r="KV60"/>
      <c r="KW60"/>
      <c r="KX60"/>
      <c r="KY60"/>
      <c r="KZ60"/>
      <c r="LA60"/>
      <c r="LB60"/>
      <c r="LC60"/>
      <c r="LD60"/>
      <c r="LE60"/>
      <c r="LF60"/>
      <c r="LG60"/>
      <c r="LH60"/>
      <c r="LI60"/>
      <c r="LJ60"/>
      <c r="LK60"/>
      <c r="LL60"/>
      <c r="LM60"/>
      <c r="LN60"/>
      <c r="LO60"/>
      <c r="LP60" s="1535"/>
      <c r="LQ60"/>
      <c r="LR60"/>
      <c r="LS60"/>
      <c r="LT60"/>
      <c r="LU60"/>
      <c r="LV60"/>
      <c r="LW60"/>
      <c r="LX60"/>
      <c r="LY60"/>
      <c r="LZ60"/>
      <c r="MA60"/>
      <c r="MB60"/>
      <c r="MC60"/>
      <c r="MD60"/>
      <c r="ME60"/>
      <c r="MF60"/>
      <c r="MG60" s="223"/>
      <c r="MH60" s="223"/>
      <c r="MI60" s="223"/>
      <c r="MJ60" s="223"/>
      <c r="MK60" s="223"/>
      <c r="ML60" s="223"/>
      <c r="MM60" s="223"/>
      <c r="MN60" s="223"/>
      <c r="MO60" s="223"/>
      <c r="MP60" s="223"/>
      <c r="MQ60" s="223"/>
      <c r="MR60" s="223"/>
      <c r="MS60" s="223"/>
      <c r="MT60" s="223"/>
      <c r="MU60" s="223"/>
      <c r="MV60" s="223"/>
      <c r="MW60" s="223"/>
      <c r="MX60" s="223"/>
      <c r="MY60" s="223"/>
      <c r="MZ60" s="223"/>
      <c r="NA60" s="223"/>
      <c r="NB60" s="223"/>
      <c r="NC60" s="223"/>
      <c r="ND60" s="223"/>
      <c r="NE60" s="223"/>
      <c r="NF60" s="223"/>
      <c r="NG60" s="223"/>
      <c r="NH60" s="223"/>
      <c r="NI60" s="223"/>
      <c r="NJ60" s="223"/>
      <c r="NK60" s="223"/>
      <c r="NL60" s="223"/>
      <c r="NM60" s="223"/>
      <c r="NN60" s="223"/>
      <c r="NO60" s="223"/>
      <c r="NP60" s="223"/>
      <c r="NQ60" s="223"/>
      <c r="NR60" s="223"/>
      <c r="NS60" s="223"/>
      <c r="NT60" s="223"/>
      <c r="NU60" s="223"/>
      <c r="NV60" s="223"/>
      <c r="NW60" s="223"/>
      <c r="NX60" s="223"/>
      <c r="NY60" s="223"/>
      <c r="NZ60" s="223"/>
      <c r="OA60" s="223"/>
      <c r="OB60" s="223"/>
      <c r="OC60" s="223"/>
      <c r="OD60" s="223"/>
      <c r="OE60" s="223"/>
      <c r="OF60" s="223"/>
      <c r="OG60" s="223"/>
      <c r="OH60" s="223"/>
      <c r="OI60" s="223"/>
      <c r="OJ60" s="223"/>
      <c r="OK60" s="223"/>
      <c r="OL60" s="223"/>
      <c r="OM60" s="223"/>
      <c r="ON60" s="223"/>
      <c r="OO60" s="223"/>
      <c r="OP60" s="223"/>
      <c r="OQ60" s="223"/>
      <c r="OR60" s="223"/>
      <c r="OS60" s="223"/>
      <c r="OT60" s="223"/>
      <c r="OU60" s="223"/>
      <c r="OV60" s="223"/>
      <c r="OW60" s="223"/>
      <c r="OX60" s="223"/>
      <c r="OY60" s="223"/>
      <c r="OZ60" s="223"/>
      <c r="PA60" s="223"/>
      <c r="PB60" s="223"/>
      <c r="PC60" s="223"/>
      <c r="PD60" s="223"/>
      <c r="PE60" s="223"/>
      <c r="PF60" s="223"/>
      <c r="PG60" s="223"/>
      <c r="PH60" s="223"/>
      <c r="PI60" s="223"/>
      <c r="PJ60" s="223"/>
      <c r="PK60" s="223"/>
      <c r="PL60" s="223"/>
      <c r="PM60" s="223"/>
      <c r="PN60" s="223"/>
      <c r="PO60" s="223"/>
      <c r="PP60" s="223"/>
      <c r="PQ60" s="223"/>
      <c r="PR60" s="223"/>
      <c r="PS60" s="223"/>
      <c r="PT60" s="223"/>
      <c r="PU60" s="223"/>
      <c r="PV60" s="223"/>
      <c r="PW60" s="223"/>
      <c r="PX60" s="223"/>
      <c r="PY60" s="223"/>
      <c r="PZ60" s="223"/>
      <c r="QA60" s="223"/>
      <c r="QB60" s="223"/>
      <c r="QC60" s="223"/>
      <c r="QD60" s="223"/>
      <c r="QE60" s="223"/>
      <c r="QF60" s="223"/>
      <c r="QG60" s="223"/>
      <c r="QH60" s="223"/>
      <c r="QI60" s="223"/>
      <c r="QJ60" s="223"/>
      <c r="QK60" s="223"/>
      <c r="QL60" s="223"/>
      <c r="QM60" s="223"/>
      <c r="QN60" s="223"/>
      <c r="QO60" s="223"/>
      <c r="QP60" s="223"/>
      <c r="QQ60" s="223"/>
      <c r="QR60" s="223"/>
      <c r="QS60" s="223"/>
      <c r="QT60" s="223"/>
      <c r="QU60" s="223"/>
      <c r="QV60" s="223"/>
      <c r="QW60" s="223"/>
      <c r="QX60" s="223"/>
      <c r="QY60" s="223"/>
      <c r="QZ60" s="223"/>
      <c r="RA60" s="223"/>
      <c r="RB60" s="223"/>
      <c r="RC60" s="223"/>
      <c r="RD60" s="223"/>
      <c r="RE60" s="223"/>
      <c r="RF60" s="223"/>
      <c r="RG60" s="223"/>
      <c r="RH60" s="223"/>
      <c r="RI60" s="223"/>
      <c r="RJ60" s="223"/>
      <c r="RK60" s="223"/>
      <c r="RL60" s="223"/>
      <c r="RM60" s="223"/>
      <c r="RN60" s="223"/>
      <c r="RO60" s="223"/>
      <c r="RP60" s="223"/>
      <c r="RQ60" s="223"/>
      <c r="RR60" s="223"/>
      <c r="RS60" s="223"/>
      <c r="RT60" s="223"/>
      <c r="RU60" s="223"/>
      <c r="RV60" s="223"/>
      <c r="RW60" s="223"/>
      <c r="RX60" s="223"/>
      <c r="RY60" s="223"/>
      <c r="RZ60" s="223"/>
      <c r="SA60" s="223"/>
      <c r="SB60" s="223"/>
      <c r="SC60" s="223"/>
      <c r="SD60" s="223"/>
      <c r="SE60" s="223"/>
      <c r="SF60" s="223"/>
      <c r="SG60" s="223"/>
      <c r="SH60" s="223"/>
      <c r="SI60" s="223"/>
      <c r="SJ60" s="223"/>
      <c r="SK60" s="223"/>
      <c r="SL60" s="223"/>
      <c r="SM60" s="223"/>
      <c r="SN60" s="223"/>
      <c r="SO60" s="223"/>
      <c r="SP60" s="223"/>
      <c r="SQ60" s="223"/>
      <c r="SR60" s="223"/>
      <c r="SS60" s="223"/>
      <c r="ST60" s="223"/>
      <c r="SU60" s="223"/>
      <c r="SV60" s="223"/>
      <c r="SW60" s="223"/>
      <c r="SX60" s="223"/>
      <c r="SY60" s="223"/>
      <c r="SZ60" s="223"/>
      <c r="TA60" s="223"/>
      <c r="TB60" s="223"/>
      <c r="TC60" s="223"/>
      <c r="TD60" s="223"/>
      <c r="TE60" s="223"/>
      <c r="TF60" s="223"/>
      <c r="TG60" s="223"/>
      <c r="TH60" s="223"/>
      <c r="TI60" s="223"/>
      <c r="TJ60" s="223"/>
      <c r="TK60" s="223"/>
      <c r="TL60" s="223"/>
      <c r="TM60" s="223"/>
      <c r="TN60" s="223"/>
      <c r="TO60" s="223"/>
      <c r="TP60" s="223"/>
      <c r="TQ60" s="223"/>
      <c r="TR60" s="223"/>
      <c r="TS60" s="223"/>
      <c r="TT60" s="223"/>
      <c r="TU60" s="223"/>
      <c r="TV60" s="223"/>
      <c r="TW60" s="223"/>
      <c r="TX60" s="223"/>
      <c r="TY60" s="223"/>
      <c r="TZ60" s="223"/>
      <c r="UA60" s="223"/>
      <c r="UB60" s="223"/>
      <c r="UC60" s="223"/>
      <c r="UD60" s="223"/>
      <c r="UE60" s="223"/>
      <c r="UF60" s="223"/>
      <c r="UG60" s="223"/>
      <c r="UH60" s="223"/>
      <c r="UI60" s="223"/>
      <c r="UJ60" s="223"/>
      <c r="UK60" s="223"/>
      <c r="UL60" s="223"/>
      <c r="UM60" s="223"/>
      <c r="UN60" s="223"/>
      <c r="UO60" s="223"/>
      <c r="UP60" s="223"/>
      <c r="UQ60" s="223"/>
      <c r="UR60" s="223"/>
      <c r="US60" s="223"/>
      <c r="UT60" s="223"/>
      <c r="UU60" s="223"/>
      <c r="UV60" s="223"/>
      <c r="UW60" s="223"/>
      <c r="UX60" s="223"/>
      <c r="UY60" s="223"/>
      <c r="UZ60" s="223"/>
      <c r="VA60" s="223"/>
      <c r="VB60" s="223"/>
      <c r="VC60" s="223"/>
      <c r="VD60" s="223"/>
      <c r="VE60" s="223"/>
      <c r="VF60" s="223"/>
      <c r="VG60" s="223"/>
      <c r="VH60" s="223"/>
      <c r="VI60" s="223"/>
      <c r="VJ60" s="223"/>
      <c r="VK60" s="223"/>
      <c r="VL60" s="223"/>
      <c r="VM60" s="223"/>
      <c r="VN60" s="223"/>
      <c r="VO60" s="223"/>
      <c r="VP60" s="223"/>
      <c r="VQ60" s="223"/>
      <c r="VR60" s="223"/>
      <c r="VS60" s="223"/>
      <c r="VT60" s="223"/>
      <c r="VU60" s="223"/>
      <c r="VV60" s="223"/>
      <c r="VW60" s="223"/>
      <c r="VX60" s="223"/>
      <c r="VY60" s="223"/>
      <c r="VZ60" s="223"/>
      <c r="WA60" s="223"/>
      <c r="WB60" s="223"/>
      <c r="WC60" s="223"/>
      <c r="WD60" s="223"/>
      <c r="WE60" s="223"/>
      <c r="WF60" s="223"/>
      <c r="WG60" s="223"/>
      <c r="WH60" s="223"/>
      <c r="WI60" s="223"/>
      <c r="WJ60" s="223"/>
      <c r="WK60" s="223"/>
      <c r="WL60" s="223"/>
      <c r="WM60" s="223"/>
      <c r="WN60" s="223"/>
    </row>
    <row r="61" spans="1:612" x14ac:dyDescent="0.25">
      <c r="B61" s="449">
        <f>B56-B59-B60</f>
        <v>0</v>
      </c>
      <c r="C61" s="449">
        <f>C56-C59-C60</f>
        <v>0</v>
      </c>
      <c r="D61" s="449">
        <f t="shared" ref="D61:E61" si="645">D56-D59-D60</f>
        <v>0</v>
      </c>
      <c r="E61" s="449">
        <f t="shared" si="645"/>
        <v>0</v>
      </c>
      <c r="AK61" s="849">
        <f t="shared" si="635"/>
        <v>0</v>
      </c>
      <c r="AL61" s="936"/>
      <c r="AO61" s="936">
        <f>SUM(AQ61:AT61)</f>
        <v>0</v>
      </c>
      <c r="AP61" s="936"/>
      <c r="AQ61" s="849">
        <f t="shared" si="636"/>
        <v>0</v>
      </c>
      <c r="AR61" s="936"/>
      <c r="AU61" s="936"/>
      <c r="AV61" s="936"/>
      <c r="AW61" s="849">
        <f t="shared" si="638"/>
        <v>0</v>
      </c>
      <c r="AX61" s="936">
        <f>SUM(AY61:MF61)</f>
        <v>0</v>
      </c>
      <c r="AZ61" s="936">
        <f>SUM(BA61:BC61)</f>
        <v>0</v>
      </c>
      <c r="BA61" s="849">
        <f t="shared" si="640"/>
        <v>0</v>
      </c>
      <c r="BB61" s="936">
        <f>SUM(BC61:MF61)</f>
        <v>0</v>
      </c>
      <c r="BD61" s="936">
        <f>SUM(BE61:BG61)</f>
        <v>0</v>
      </c>
      <c r="BU61" s="225">
        <f>BU56-BU59-BU60</f>
        <v>0</v>
      </c>
      <c r="BZ61" s="225">
        <f>BZ56-BZ59-BZ60</f>
        <v>0</v>
      </c>
      <c r="CE61" s="225">
        <f>CE56-CE59-CE60</f>
        <v>0</v>
      </c>
      <c r="CJ61" s="225">
        <f>CJ56-CJ59-CJ60</f>
        <v>0</v>
      </c>
      <c r="CS61" s="225">
        <f>CS56-CS59-CS60</f>
        <v>0</v>
      </c>
      <c r="CT61" s="225">
        <f>CT56-CT59-CT60</f>
        <v>0</v>
      </c>
      <c r="DA61" s="225">
        <f>DA56-DA59-DA60</f>
        <v>0</v>
      </c>
      <c r="DB61" s="225">
        <f>DB56-DB59-DB60</f>
        <v>0</v>
      </c>
      <c r="DI61" s="237"/>
      <c r="DJ61" s="237"/>
      <c r="DK61" s="237"/>
      <c r="DL61" s="237"/>
      <c r="DM61" s="237"/>
      <c r="DN61" s="237"/>
      <c r="DQ61" s="225">
        <f>DQ56-DQ59-DQ60</f>
        <v>0</v>
      </c>
      <c r="DX61" s="225">
        <f>DX56-DX59-DX60</f>
        <v>0</v>
      </c>
      <c r="HK61" s="225">
        <f>HK56-HK59-HK60</f>
        <v>0</v>
      </c>
      <c r="HN61" s="225">
        <f>HN56-HN59-HN60</f>
        <v>0</v>
      </c>
      <c r="HQ61" s="225">
        <f>HQ56-HQ59-HQ60</f>
        <v>0</v>
      </c>
      <c r="HR61" s="225"/>
      <c r="HS61" s="225"/>
      <c r="HT61" s="225">
        <f>HT56-HT59-HT60</f>
        <v>0</v>
      </c>
      <c r="IQ61" s="449">
        <f>IQ56-IQ59-IQ60</f>
        <v>0</v>
      </c>
      <c r="IR61" s="449"/>
      <c r="IS61" s="449"/>
      <c r="KO61" s="449">
        <f>KO56-KO59-KO60</f>
        <v>0</v>
      </c>
      <c r="KP61" s="449">
        <f>KP56-KP59-KP60</f>
        <v>0</v>
      </c>
      <c r="KQ61" s="449">
        <f>KQ56-KQ59-KQ60</f>
        <v>0</v>
      </c>
      <c r="KR61" s="449"/>
      <c r="KS61" s="449">
        <f>KS56-KS59-KS60</f>
        <v>0</v>
      </c>
    </row>
  </sheetData>
  <mergeCells count="298">
    <mergeCell ref="F41:G41"/>
    <mergeCell ref="QW10:QX10"/>
    <mergeCell ref="QW9:QZ9"/>
    <mergeCell ref="GM39:HJ39"/>
    <mergeCell ref="HQ10:HV10"/>
    <mergeCell ref="IE9:IP9"/>
    <mergeCell ref="HK10:HP10"/>
    <mergeCell ref="HK9:HP9"/>
    <mergeCell ref="F39:M39"/>
    <mergeCell ref="N39:U39"/>
    <mergeCell ref="AA39:AH39"/>
    <mergeCell ref="F9:G9"/>
    <mergeCell ref="FQ39:GF39"/>
    <mergeCell ref="LA39:MF39"/>
    <mergeCell ref="QU39:QZ39"/>
    <mergeCell ref="PU10:PZ10"/>
    <mergeCell ref="QA9:QF10"/>
    <mergeCell ref="QS9:QT9"/>
    <mergeCell ref="FE9:FJ9"/>
    <mergeCell ref="JU9:KN9"/>
    <mergeCell ref="KE10:KN10"/>
    <mergeCell ref="NQ9:OD9"/>
    <mergeCell ref="FQ10:FV10"/>
    <mergeCell ref="AI8:AI11"/>
    <mergeCell ref="FK39:FP39"/>
    <mergeCell ref="QS8:QZ8"/>
    <mergeCell ref="KW9:KZ9"/>
    <mergeCell ref="AK39:BT39"/>
    <mergeCell ref="DG10:DH10"/>
    <mergeCell ref="EE10:EJ10"/>
    <mergeCell ref="BU8:CR8"/>
    <mergeCell ref="BU9:BZ9"/>
    <mergeCell ref="BU10:BZ10"/>
    <mergeCell ref="CQ10:CR10"/>
    <mergeCell ref="DI39:DP39"/>
    <mergeCell ref="CO10:CP10"/>
    <mergeCell ref="DI9:DP9"/>
    <mergeCell ref="DI10:DP10"/>
    <mergeCell ref="DA39:DH39"/>
    <mergeCell ref="EE39:EJ39"/>
    <mergeCell ref="AK8:BT8"/>
    <mergeCell ref="GC9:GF9"/>
    <mergeCell ref="AW9:BD10"/>
    <mergeCell ref="BE9:BT9"/>
    <mergeCell ref="BE10:BL10"/>
    <mergeCell ref="CW9:CZ9"/>
    <mergeCell ref="GE10:GF10"/>
    <mergeCell ref="FQ8:GF8"/>
    <mergeCell ref="AJ8:AJ11"/>
    <mergeCell ref="DQ8:ED8"/>
    <mergeCell ref="BM10:BT10"/>
    <mergeCell ref="CS39:CZ39"/>
    <mergeCell ref="CW10:CX10"/>
    <mergeCell ref="RK39:RL39"/>
    <mergeCell ref="TW9:TZ9"/>
    <mergeCell ref="TW10:TX10"/>
    <mergeCell ref="FK9:FP9"/>
    <mergeCell ref="FK10:FP10"/>
    <mergeCell ref="QS39:QT39"/>
    <mergeCell ref="QS10:QT10"/>
    <mergeCell ref="LY10:MF10"/>
    <mergeCell ref="LQ9:MF9"/>
    <mergeCell ref="GM10:GR10"/>
    <mergeCell ref="QG10:QL10"/>
    <mergeCell ref="QM10:QR10"/>
    <mergeCell ref="QG9:QR9"/>
    <mergeCell ref="GY10:HD10"/>
    <mergeCell ref="HE10:HJ10"/>
    <mergeCell ref="FQ9:FV9"/>
    <mergeCell ref="DI8:DP8"/>
    <mergeCell ref="EE9:EJ9"/>
    <mergeCell ref="LA9:LH9"/>
    <mergeCell ref="A6:A11"/>
    <mergeCell ref="B6:C8"/>
    <mergeCell ref="B9:C10"/>
    <mergeCell ref="E8:E11"/>
    <mergeCell ref="D8:D11"/>
    <mergeCell ref="D7:AH7"/>
    <mergeCell ref="V8:AH8"/>
    <mergeCell ref="AE9:AH9"/>
    <mergeCell ref="V9:Z9"/>
    <mergeCell ref="R9:U9"/>
    <mergeCell ref="F8:M8"/>
    <mergeCell ref="H9:I10"/>
    <mergeCell ref="L10:M10"/>
    <mergeCell ref="N10:O10"/>
    <mergeCell ref="AE10:AF10"/>
    <mergeCell ref="AA9:AD10"/>
    <mergeCell ref="N8:U8"/>
    <mergeCell ref="R10:S10"/>
    <mergeCell ref="J10:K10"/>
    <mergeCell ref="N9:O9"/>
    <mergeCell ref="V10:Z10"/>
    <mergeCell ref="F10:G10"/>
    <mergeCell ref="P9:Q10"/>
    <mergeCell ref="AG10:AH10"/>
    <mergeCell ref="T10:U10"/>
    <mergeCell ref="J9:M9"/>
    <mergeCell ref="UO39:VS39"/>
    <mergeCell ref="SY9:TB9"/>
    <mergeCell ref="SL8:SL11"/>
    <mergeCell ref="BU39:CR39"/>
    <mergeCell ref="CY10:CZ10"/>
    <mergeCell ref="AK9:AV9"/>
    <mergeCell ref="AK10:AV10"/>
    <mergeCell ref="CE9:CJ10"/>
    <mergeCell ref="EY9:FD9"/>
    <mergeCell ref="EY10:FD10"/>
    <mergeCell ref="EY39:FD39"/>
    <mergeCell ref="FE39:FJ39"/>
    <mergeCell ref="CO9:CR9"/>
    <mergeCell ref="EK39:EX39"/>
    <mergeCell ref="DQ39:ED39"/>
    <mergeCell ref="EK10:EX10"/>
    <mergeCell ref="CS10:CT10"/>
    <mergeCell ref="DE9:DH9"/>
    <mergeCell ref="DE10:DF10"/>
    <mergeCell ref="DQ10:ED10"/>
    <mergeCell ref="DA9:DB9"/>
    <mergeCell ref="V39:Z39"/>
    <mergeCell ref="VU7:VU11"/>
    <mergeCell ref="WE7:WL8"/>
    <mergeCell ref="WK10:WL10"/>
    <mergeCell ref="WE39:WL39"/>
    <mergeCell ref="WI9:WL9"/>
    <mergeCell ref="WI10:WJ10"/>
    <mergeCell ref="WE10:WF10"/>
    <mergeCell ref="WG9:WH10"/>
    <mergeCell ref="WE9:WF9"/>
    <mergeCell ref="VW39:WD39"/>
    <mergeCell ref="VY9:VZ10"/>
    <mergeCell ref="WA9:WD9"/>
    <mergeCell ref="VW7:WD8"/>
    <mergeCell ref="WA10:WB10"/>
    <mergeCell ref="WC10:WD10"/>
    <mergeCell ref="VW9:VX9"/>
    <mergeCell ref="VW10:VX10"/>
    <mergeCell ref="VV7:VV11"/>
    <mergeCell ref="CS8:CZ8"/>
    <mergeCell ref="CS9:CT9"/>
    <mergeCell ref="DA8:DH8"/>
    <mergeCell ref="DQ9:ED9"/>
    <mergeCell ref="DA10:DB10"/>
    <mergeCell ref="CU9:CV10"/>
    <mergeCell ref="DC9:DD10"/>
    <mergeCell ref="EE8:EJ8"/>
    <mergeCell ref="EY8:FD8"/>
    <mergeCell ref="FK8:FP8"/>
    <mergeCell ref="FE8:FJ8"/>
    <mergeCell ref="FE10:FJ10"/>
    <mergeCell ref="EK8:EX8"/>
    <mergeCell ref="EK9:EX9"/>
    <mergeCell ref="FW9:GB10"/>
    <mergeCell ref="GC10:GD10"/>
    <mergeCell ref="GM8:HJ8"/>
    <mergeCell ref="GG8:GL8"/>
    <mergeCell ref="GG9:GL9"/>
    <mergeCell ref="GG10:GL10"/>
    <mergeCell ref="GM9:GR9"/>
    <mergeCell ref="GS9:GX10"/>
    <mergeCell ref="GY9:HJ9"/>
    <mergeCell ref="HK8:HP8"/>
    <mergeCell ref="HQ8:IP8"/>
    <mergeCell ref="HQ9:HV9"/>
    <mergeCell ref="IC10:ID10"/>
    <mergeCell ref="IK10:IP10"/>
    <mergeCell ref="HW9:IB10"/>
    <mergeCell ref="SK7:VS7"/>
    <mergeCell ref="UO8:VS8"/>
    <mergeCell ref="RA7:SJ7"/>
    <mergeCell ref="RA8:RA11"/>
    <mergeCell ref="RK9:RL9"/>
    <mergeCell ref="UA8:UF8"/>
    <mergeCell ref="UA9:UF9"/>
    <mergeCell ref="UA10:UF10"/>
    <mergeCell ref="TY10:TZ10"/>
    <mergeCell ref="TK8:TZ8"/>
    <mergeCell ref="TK9:TP9"/>
    <mergeCell ref="TK10:TP10"/>
    <mergeCell ref="VI9:VT9"/>
    <mergeCell ref="VO10:VT10"/>
    <mergeCell ref="VI10:VN10"/>
    <mergeCell ref="VC9:VH10"/>
    <mergeCell ref="UO9:VB9"/>
    <mergeCell ref="UO10:VB10"/>
    <mergeCell ref="RS10:RT10"/>
    <mergeCell ref="RU10:RV10"/>
    <mergeCell ref="RO10:RP10"/>
    <mergeCell ref="RO9:RP9"/>
    <mergeCell ref="RM9:RN10"/>
    <mergeCell ref="RB8:RB11"/>
    <mergeCell ref="IQ8:KN8"/>
    <mergeCell ref="LA8:MF8"/>
    <mergeCell ref="NQ8:PT8"/>
    <mergeCell ref="NQ10:OD10"/>
    <mergeCell ref="LA10:LH10"/>
    <mergeCell ref="MG9:MP10"/>
    <mergeCell ref="MQ10:MZ10"/>
    <mergeCell ref="JK9:JT10"/>
    <mergeCell ref="LQ10:LX10"/>
    <mergeCell ref="NK8:NP8"/>
    <mergeCell ref="NK10:NP10"/>
    <mergeCell ref="NK9:NP9"/>
    <mergeCell ref="LI9:LP10"/>
    <mergeCell ref="KW8:KZ8"/>
    <mergeCell ref="UG8:UN8"/>
    <mergeCell ref="UG9:UN9"/>
    <mergeCell ref="UG10:UN10"/>
    <mergeCell ref="RW8:SB8"/>
    <mergeCell ref="RW9:SB9"/>
    <mergeCell ref="RW10:SB10"/>
    <mergeCell ref="RW39:SB39"/>
    <mergeCell ref="TQ9:TV10"/>
    <mergeCell ref="TG9:TJ9"/>
    <mergeCell ref="TG10:TH10"/>
    <mergeCell ref="TI10:TJ10"/>
    <mergeCell ref="UA39:UF39"/>
    <mergeCell ref="SY10:TB10"/>
    <mergeCell ref="SK8:SK11"/>
    <mergeCell ref="SE8:SJ8"/>
    <mergeCell ref="SE9:SJ9"/>
    <mergeCell ref="SE10:SJ10"/>
    <mergeCell ref="SY8:TJ8"/>
    <mergeCell ref="TC9:TF10"/>
    <mergeCell ref="SY39:TJ39"/>
    <mergeCell ref="UG39:UN39"/>
    <mergeCell ref="SS8:SX8"/>
    <mergeCell ref="SS9:SX9"/>
    <mergeCell ref="SS10:SX10"/>
    <mergeCell ref="RM39:RN39"/>
    <mergeCell ref="RO39:RP39"/>
    <mergeCell ref="RU39:RV39"/>
    <mergeCell ref="RQ9:RR9"/>
    <mergeCell ref="RF8:RF11"/>
    <mergeCell ref="RI9:RJ9"/>
    <mergeCell ref="RD8:RD11"/>
    <mergeCell ref="RG9:RH9"/>
    <mergeCell ref="RG39:RH39"/>
    <mergeCell ref="RQ39:RR39"/>
    <mergeCell ref="RS39:RT39"/>
    <mergeCell ref="RK8:RL8"/>
    <mergeCell ref="RE8:RE11"/>
    <mergeCell ref="RQ8:RR8"/>
    <mergeCell ref="RS8:RT8"/>
    <mergeCell ref="RI8:RJ8"/>
    <mergeCell ref="RO8:RP8"/>
    <mergeCell ref="RM8:RN8"/>
    <mergeCell ref="RI39:RJ39"/>
    <mergeCell ref="RS9:RT9"/>
    <mergeCell ref="RG8:RH8"/>
    <mergeCell ref="RG10:RH10"/>
    <mergeCell ref="RQ10:RR10"/>
    <mergeCell ref="RK10:RL10"/>
    <mergeCell ref="KW39:KZ39"/>
    <mergeCell ref="RC8:RC11"/>
    <mergeCell ref="KO10:KV10"/>
    <mergeCell ref="QU9:QV10"/>
    <mergeCell ref="QY10:QZ10"/>
    <mergeCell ref="KO39:KV39"/>
    <mergeCell ref="IQ9:JJ9"/>
    <mergeCell ref="IE10:IJ10"/>
    <mergeCell ref="IQ10:JJ10"/>
    <mergeCell ref="PU8:QP8"/>
    <mergeCell ref="PU9:PZ9"/>
    <mergeCell ref="KW10:KZ10"/>
    <mergeCell ref="NK39:NP39"/>
    <mergeCell ref="OS10:PF10"/>
    <mergeCell ref="MG39:NH39"/>
    <mergeCell ref="NQ39:PT39"/>
    <mergeCell ref="HQ39:IP39"/>
    <mergeCell ref="OE9:OR10"/>
    <mergeCell ref="OS9:PT9"/>
    <mergeCell ref="PG10:PT10"/>
    <mergeCell ref="PU39:QR39"/>
    <mergeCell ref="SS39:SX39"/>
    <mergeCell ref="MG8:NJ8"/>
    <mergeCell ref="MQ9:NJ9"/>
    <mergeCell ref="NA10:NJ10"/>
    <mergeCell ref="AI7:QZ7"/>
    <mergeCell ref="TK39:TZ39"/>
    <mergeCell ref="SC8:SD8"/>
    <mergeCell ref="SC9:SD9"/>
    <mergeCell ref="SC10:SD10"/>
    <mergeCell ref="SC39:SD39"/>
    <mergeCell ref="SM9:SR9"/>
    <mergeCell ref="SM10:SR10"/>
    <mergeCell ref="SM39:SR39"/>
    <mergeCell ref="SM8:SR8"/>
    <mergeCell ref="SE39:SJ39"/>
    <mergeCell ref="GG39:GL39"/>
    <mergeCell ref="RU8:RV8"/>
    <mergeCell ref="RU9:RV9"/>
    <mergeCell ref="RI10:RJ10"/>
    <mergeCell ref="KO8:KV8"/>
    <mergeCell ref="KO9:KV9"/>
    <mergeCell ref="HK39:HP39"/>
    <mergeCell ref="IQ39:KN39"/>
    <mergeCell ref="JU10:KD10"/>
  </mergeCells>
  <phoneticPr fontId="0" type="noConversion"/>
  <pageMargins left="0.39370078740157483" right="0.39370078740157483" top="0.39370078740157483" bottom="0.39370078740157483" header="0.23622047244094491" footer="0.23622047244094491"/>
  <pageSetup paperSize="9" scale="31" fitToWidth="50" orientation="landscape" horizontalDpi="300" verticalDpi="300" r:id="rId1"/>
  <headerFooter alignWithMargins="0">
    <oddFooter>&amp;L&amp;P&amp;R&amp;F&amp;A</oddFooter>
  </headerFooter>
  <colBreaks count="14" manualBreakCount="14">
    <brk id="17" max="38" man="1"/>
    <brk id="43" max="38" man="1"/>
    <brk id="98" max="38" man="1"/>
    <brk id="117" max="38" man="1"/>
    <brk id="184" max="38" man="1"/>
    <brk id="224" max="38" man="1"/>
    <brk id="298" max="38" man="1"/>
    <brk id="370" max="38" man="1"/>
    <brk id="452" max="38" man="1"/>
    <brk id="478" max="38" man="1"/>
    <brk id="498" max="38" man="1"/>
    <brk id="530" max="38" man="1"/>
    <brk id="580" max="38" man="1"/>
    <brk id="604" max="3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2:G22"/>
  <sheetViews>
    <sheetView zoomScaleNormal="100" workbookViewId="0">
      <pane xSplit="1" ySplit="7" topLeftCell="B14" activePane="bottomRight" state="frozen"/>
      <selection pane="topRight" activeCell="B1" sqref="B1"/>
      <selection pane="bottomLeft" activeCell="A6" sqref="A6"/>
      <selection pane="bottomRight" activeCell="C21" sqref="C21"/>
    </sheetView>
  </sheetViews>
  <sheetFormatPr defaultColWidth="9.140625" defaultRowHeight="12.75" x14ac:dyDescent="0.2"/>
  <cols>
    <col min="1" max="1" width="51.5703125" style="1" customWidth="1"/>
    <col min="2" max="2" width="15.5703125" style="1" customWidth="1"/>
    <col min="3" max="3" width="21.5703125" style="1" customWidth="1"/>
    <col min="4" max="4" width="20.85546875" style="1" customWidth="1"/>
    <col min="5" max="5" width="22.85546875" style="1" customWidth="1"/>
    <col min="6" max="6" width="16.42578125" style="1" bestFit="1" customWidth="1"/>
    <col min="7" max="7" width="13.85546875" style="1" bestFit="1" customWidth="1"/>
    <col min="8" max="16384" width="9.140625" style="1"/>
  </cols>
  <sheetData>
    <row r="2" spans="1:7" ht="15" x14ac:dyDescent="0.25">
      <c r="A2" s="1913" t="s">
        <v>678</v>
      </c>
      <c r="B2" s="1913"/>
      <c r="C2" s="1913"/>
      <c r="D2" s="1913"/>
      <c r="E2" s="1913"/>
    </row>
    <row r="3" spans="1:7" ht="15" x14ac:dyDescent="0.25">
      <c r="A3" s="1914" t="str">
        <f>'Проверочная  таблица'!H3</f>
        <v>ПО  СОСТОЯНИЮ  НА  1  ОКТЯБРЯ  2021  ГОДА</v>
      </c>
      <c r="B3" s="1914"/>
      <c r="C3" s="1914"/>
      <c r="D3" s="1914"/>
      <c r="E3" s="1914"/>
    </row>
    <row r="4" spans="1:7" ht="15" x14ac:dyDescent="0.25">
      <c r="A4" s="1915" t="s">
        <v>137</v>
      </c>
      <c r="B4" s="1915"/>
      <c r="C4" s="1915"/>
      <c r="D4" s="1915"/>
      <c r="E4" s="1915"/>
    </row>
    <row r="6" spans="1:7" x14ac:dyDescent="0.2">
      <c r="E6" s="1" t="s">
        <v>20</v>
      </c>
    </row>
    <row r="7" spans="1:7" s="175" customFormat="1" ht="25.5" x14ac:dyDescent="0.2">
      <c r="A7" s="176" t="s">
        <v>159</v>
      </c>
      <c r="B7" s="176" t="s">
        <v>18</v>
      </c>
      <c r="C7" s="176" t="s">
        <v>13</v>
      </c>
      <c r="D7" s="176" t="s">
        <v>161</v>
      </c>
      <c r="E7" s="176" t="s">
        <v>160</v>
      </c>
    </row>
    <row r="8" spans="1:7" ht="102" x14ac:dyDescent="0.2">
      <c r="A8" s="177" t="s">
        <v>691</v>
      </c>
      <c r="B8" s="178" t="s">
        <v>170</v>
      </c>
      <c r="C8" s="977">
        <f>300000000+692610074+309666626+932892510+100000000</f>
        <v>2335169210</v>
      </c>
      <c r="D8" s="182">
        <f t="shared" ref="D8:D13" si="0">C8-E8</f>
        <v>2011255271</v>
      </c>
      <c r="E8" s="217">
        <f>'[1]Дотация  из  ОБ_факт'!F37</f>
        <v>323913939</v>
      </c>
      <c r="F8" s="1538">
        <f>C8-'[1]Финансовая  помощь  (факт)'!$P$38*1000</f>
        <v>-500000000</v>
      </c>
      <c r="G8" s="1528"/>
    </row>
    <row r="9" spans="1:7" ht="127.5" x14ac:dyDescent="0.2">
      <c r="A9" s="1242" t="s">
        <v>686</v>
      </c>
      <c r="B9" s="178" t="s">
        <v>190</v>
      </c>
      <c r="C9" s="977">
        <v>8500000</v>
      </c>
      <c r="D9" s="182">
        <f t="shared" si="0"/>
        <v>8500000</v>
      </c>
      <c r="E9" s="217">
        <f>'[1]Дотация  из  ОБ_факт'!F38</f>
        <v>0</v>
      </c>
    </row>
    <row r="10" spans="1:7" ht="140.25" x14ac:dyDescent="0.2">
      <c r="A10" s="1242" t="s">
        <v>687</v>
      </c>
      <c r="B10" s="178" t="s">
        <v>193</v>
      </c>
      <c r="C10" s="977">
        <v>6000000</v>
      </c>
      <c r="D10" s="182">
        <f t="shared" si="0"/>
        <v>6000000</v>
      </c>
      <c r="E10" s="217">
        <f>'[1]Дотация  из  ОБ_факт'!F39</f>
        <v>0</v>
      </c>
    </row>
    <row r="11" spans="1:7" ht="127.5" x14ac:dyDescent="0.2">
      <c r="A11" s="1242" t="s">
        <v>688</v>
      </c>
      <c r="B11" s="178" t="s">
        <v>194</v>
      </c>
      <c r="C11" s="977">
        <v>10000000</v>
      </c>
      <c r="D11" s="182">
        <f t="shared" si="0"/>
        <v>10000000</v>
      </c>
      <c r="E11" s="217">
        <f>'[1]Дотация  из  ОБ_факт'!F40</f>
        <v>0</v>
      </c>
    </row>
    <row r="12" spans="1:7" ht="127.5" x14ac:dyDescent="0.2">
      <c r="A12" s="1242" t="s">
        <v>689</v>
      </c>
      <c r="B12" s="178" t="s">
        <v>191</v>
      </c>
      <c r="C12" s="977">
        <v>3000000</v>
      </c>
      <c r="D12" s="182">
        <f t="shared" si="0"/>
        <v>3000000</v>
      </c>
      <c r="E12" s="217">
        <f>'[1]Дотация  из  ОБ_факт'!F41</f>
        <v>0</v>
      </c>
    </row>
    <row r="13" spans="1:7" ht="140.25" x14ac:dyDescent="0.2">
      <c r="A13" s="1242" t="s">
        <v>690</v>
      </c>
      <c r="B13" s="178" t="s">
        <v>195</v>
      </c>
      <c r="C13" s="977">
        <v>12500000</v>
      </c>
      <c r="D13" s="182">
        <f t="shared" si="0"/>
        <v>12500000</v>
      </c>
      <c r="E13" s="217">
        <f>'[1]Дотация  из  ОБ_факт'!F42</f>
        <v>0</v>
      </c>
    </row>
    <row r="14" spans="1:7" ht="15" x14ac:dyDescent="0.2">
      <c r="A14" s="180"/>
      <c r="B14" s="180"/>
      <c r="C14" s="184"/>
      <c r="D14" s="180"/>
      <c r="E14" s="179"/>
    </row>
    <row r="15" spans="1:7" s="174" customFormat="1" ht="15" x14ac:dyDescent="0.2">
      <c r="A15" s="181" t="s">
        <v>1</v>
      </c>
      <c r="B15" s="181"/>
      <c r="C15" s="183">
        <f>SUM(C8:C14)</f>
        <v>2375169210</v>
      </c>
      <c r="D15" s="183">
        <f>SUM(D8:D14)</f>
        <v>2051255271</v>
      </c>
      <c r="E15" s="183">
        <f>SUM(E8:E14)</f>
        <v>323913939</v>
      </c>
    </row>
    <row r="16" spans="1:7" x14ac:dyDescent="0.2">
      <c r="E16" s="443"/>
    </row>
    <row r="18" spans="1:5" x14ac:dyDescent="0.2">
      <c r="A18" s="174" t="s">
        <v>107</v>
      </c>
    </row>
    <row r="19" spans="1:5" ht="15" x14ac:dyDescent="0.2">
      <c r="A19" s="177" t="s">
        <v>52</v>
      </c>
      <c r="B19" s="178"/>
      <c r="C19" s="184"/>
      <c r="D19" s="182"/>
      <c r="E19" s="217">
        <f>Субсидия!G480</f>
        <v>168603584.60300004</v>
      </c>
    </row>
    <row r="20" spans="1:5" ht="15" x14ac:dyDescent="0.2">
      <c r="A20" s="177" t="s">
        <v>804</v>
      </c>
      <c r="B20" s="178"/>
      <c r="C20" s="184"/>
      <c r="D20" s="182"/>
      <c r="E20" s="217">
        <f>'Нераспределенная  субвенция'!G12</f>
        <v>0</v>
      </c>
    </row>
    <row r="21" spans="1:5" ht="15" x14ac:dyDescent="0.2">
      <c r="A21" s="177" t="s">
        <v>165</v>
      </c>
      <c r="B21" s="178"/>
      <c r="C21" s="184"/>
      <c r="D21" s="182"/>
      <c r="E21" s="217">
        <f>'Нераспределенные  иные  МБТ'!G56</f>
        <v>313013788.11000001</v>
      </c>
    </row>
    <row r="22" spans="1:5" ht="15" x14ac:dyDescent="0.2">
      <c r="A22" s="218" t="s">
        <v>53</v>
      </c>
      <c r="B22" s="180"/>
      <c r="C22" s="184"/>
      <c r="D22" s="180"/>
      <c r="E22" s="219">
        <f>SUM(E15:E21)</f>
        <v>805531311.71300006</v>
      </c>
    </row>
  </sheetData>
  <mergeCells count="3">
    <mergeCell ref="A2:E2"/>
    <mergeCell ref="A3:E3"/>
    <mergeCell ref="A4:E4"/>
  </mergeCells>
  <phoneticPr fontId="0" type="noConversion"/>
  <pageMargins left="0.78740157480314965" right="0.39370078740157483" top="0.78740157480314965" bottom="0.78740157480314965" header="0.51181102362204722" footer="0.51181102362204722"/>
  <pageSetup paperSize="9" scale="69" orientation="portrait" r:id="rId1"/>
  <headerFooter alignWithMargins="0">
    <oddFooter>&amp;R&amp;Z&amp;F&amp;A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2:Q532"/>
  <sheetViews>
    <sheetView topLeftCell="A2" zoomScale="73" zoomScaleNormal="73" workbookViewId="0">
      <pane xSplit="3" ySplit="6" topLeftCell="D476" activePane="bottomRight" state="frozen"/>
      <selection activeCell="A2" sqref="A2"/>
      <selection pane="topRight" activeCell="D2" sqref="D2"/>
      <selection pane="bottomLeft" activeCell="A8" sqref="A8"/>
      <selection pane="bottomRight" activeCell="G486" sqref="G486"/>
    </sheetView>
  </sheetViews>
  <sheetFormatPr defaultColWidth="9.140625" defaultRowHeight="15" x14ac:dyDescent="0.2"/>
  <cols>
    <col min="1" max="1" width="12.140625" style="800" customWidth="1"/>
    <col min="2" max="2" width="48.85546875" style="800" customWidth="1"/>
    <col min="3" max="3" width="17.42578125" style="800" customWidth="1"/>
    <col min="4" max="4" width="21.42578125" style="800" customWidth="1"/>
    <col min="5" max="6" width="21.5703125" style="800" customWidth="1"/>
    <col min="7" max="7" width="21" style="800" customWidth="1"/>
    <col min="8" max="8" width="9.42578125" style="799" customWidth="1"/>
    <col min="9" max="9" width="9.140625" style="799" customWidth="1"/>
    <col min="10" max="10" width="19" style="1310" customWidth="1"/>
    <col min="11" max="11" width="19.140625" style="800" bestFit="1" customWidth="1"/>
    <col min="12" max="12" width="12.42578125" style="800" customWidth="1"/>
    <col min="13" max="15" width="9.140625" style="800"/>
    <col min="16" max="16" width="14.5703125" style="800" customWidth="1"/>
    <col min="17" max="17" width="14.85546875" style="800" customWidth="1"/>
    <col min="18" max="16384" width="9.140625" style="800"/>
  </cols>
  <sheetData>
    <row r="2" spans="1:10" x14ac:dyDescent="0.2">
      <c r="A2" s="1918" t="s">
        <v>677</v>
      </c>
      <c r="B2" s="1918"/>
      <c r="C2" s="1918"/>
      <c r="D2" s="1918"/>
      <c r="E2" s="1918"/>
      <c r="F2" s="1918"/>
      <c r="G2" s="1918"/>
    </row>
    <row r="3" spans="1:10" x14ac:dyDescent="0.2">
      <c r="A3" s="1919" t="str">
        <f>'Проверочная  таблица'!H3</f>
        <v>ПО  СОСТОЯНИЮ  НА  1  ОКТЯБРЯ  2021  ГОДА</v>
      </c>
      <c r="B3" s="1919"/>
      <c r="C3" s="1919"/>
      <c r="D3" s="1919"/>
      <c r="E3" s="1919"/>
      <c r="F3" s="1919"/>
      <c r="G3" s="1919"/>
    </row>
    <row r="4" spans="1:10" ht="54.95" customHeight="1" x14ac:dyDescent="0.2">
      <c r="A4" s="1920" t="s">
        <v>314</v>
      </c>
      <c r="B4" s="1920"/>
      <c r="C4" s="1920"/>
      <c r="D4" s="1920"/>
      <c r="E4" s="1920"/>
      <c r="F4" s="1920"/>
      <c r="G4" s="1920"/>
    </row>
    <row r="6" spans="1:10" x14ac:dyDescent="0.2">
      <c r="G6" s="800" t="s">
        <v>20</v>
      </c>
    </row>
    <row r="7" spans="1:10" s="186" customFormat="1" ht="25.5" x14ac:dyDescent="0.2">
      <c r="A7" s="185" t="s">
        <v>112</v>
      </c>
      <c r="B7" s="185" t="s">
        <v>159</v>
      </c>
      <c r="C7" s="185" t="s">
        <v>18</v>
      </c>
      <c r="D7" s="185" t="s">
        <v>13</v>
      </c>
      <c r="E7" s="185" t="s">
        <v>161</v>
      </c>
      <c r="F7" s="185" t="s">
        <v>4</v>
      </c>
      <c r="G7" s="185" t="s">
        <v>160</v>
      </c>
      <c r="H7" s="391"/>
      <c r="I7" s="391"/>
      <c r="J7" s="1309"/>
    </row>
    <row r="8" spans="1:10" s="186" customFormat="1" x14ac:dyDescent="0.2">
      <c r="A8" s="187" t="s">
        <v>75</v>
      </c>
      <c r="B8" s="251" t="s">
        <v>47</v>
      </c>
      <c r="C8" s="196"/>
      <c r="D8" s="282">
        <f>D18+D15+D30+D12+D27+D21+D24</f>
        <v>24667700</v>
      </c>
      <c r="E8" s="282">
        <f t="shared" ref="E8:G8" si="0">E18+E15+E30+E12+E27+E21+E24</f>
        <v>24667700</v>
      </c>
      <c r="F8" s="282">
        <f t="shared" si="0"/>
        <v>14294452.960000001</v>
      </c>
      <c r="G8" s="282">
        <f t="shared" si="0"/>
        <v>0</v>
      </c>
      <c r="H8" s="289">
        <f t="shared" ref="H8:H33" si="1">IF(F8&gt;E8,1,0)</f>
        <v>0</v>
      </c>
      <c r="I8" s="289">
        <f>IF(G8&lt;0,1,0)</f>
        <v>0</v>
      </c>
      <c r="J8" s="1309"/>
    </row>
    <row r="9" spans="1:10" s="186" customFormat="1" x14ac:dyDescent="0.2">
      <c r="A9" s="378"/>
      <c r="B9" s="379" t="s">
        <v>146</v>
      </c>
      <c r="C9" s="380"/>
      <c r="D9" s="1121">
        <f>D16+D22+D25+D28+D31</f>
        <v>24667700</v>
      </c>
      <c r="E9" s="1121">
        <f t="shared" ref="E9:G9" si="2">E16+E22+E25+E28+E31</f>
        <v>24667700</v>
      </c>
      <c r="F9" s="1121">
        <f t="shared" si="2"/>
        <v>14294452.960000001</v>
      </c>
      <c r="G9" s="1121">
        <f t="shared" si="2"/>
        <v>0</v>
      </c>
      <c r="H9" s="289">
        <f t="shared" si="1"/>
        <v>0</v>
      </c>
      <c r="I9" s="289">
        <f t="shared" ref="I9:I60" si="3">IF(G9&lt;0,1,0)</f>
        <v>0</v>
      </c>
      <c r="J9" s="1309"/>
    </row>
    <row r="10" spans="1:10" s="186" customFormat="1" x14ac:dyDescent="0.2">
      <c r="A10" s="378"/>
      <c r="B10" s="379" t="s">
        <v>147</v>
      </c>
      <c r="C10" s="380"/>
      <c r="D10" s="1121">
        <f>D8-D9</f>
        <v>0</v>
      </c>
      <c r="E10" s="1121">
        <f t="shared" ref="E10:G10" si="4">E8-E9</f>
        <v>0</v>
      </c>
      <c r="F10" s="1121">
        <f t="shared" si="4"/>
        <v>0</v>
      </c>
      <c r="G10" s="1121">
        <f t="shared" si="4"/>
        <v>0</v>
      </c>
      <c r="H10" s="289">
        <f t="shared" si="1"/>
        <v>0</v>
      </c>
      <c r="I10" s="289">
        <f t="shared" si="3"/>
        <v>0</v>
      </c>
      <c r="J10" s="1309"/>
    </row>
    <row r="11" spans="1:10" s="186" customFormat="1" x14ac:dyDescent="0.2">
      <c r="A11" s="188"/>
      <c r="B11" s="476" t="s">
        <v>38</v>
      </c>
      <c r="C11" s="197"/>
      <c r="D11" s="283"/>
      <c r="E11" s="189"/>
      <c r="F11" s="189"/>
      <c r="G11" s="283"/>
      <c r="H11" s="289">
        <f t="shared" si="1"/>
        <v>0</v>
      </c>
      <c r="I11" s="289">
        <f t="shared" si="3"/>
        <v>0</v>
      </c>
      <c r="J11" s="1309"/>
    </row>
    <row r="12" spans="1:10" s="186" customFormat="1" ht="165.75" hidden="1" x14ac:dyDescent="0.2">
      <c r="A12" s="195"/>
      <c r="B12" s="1427" t="s">
        <v>221</v>
      </c>
      <c r="C12" s="144" t="s">
        <v>199</v>
      </c>
      <c r="D12" s="286"/>
      <c r="E12" s="450">
        <f>D12</f>
        <v>0</v>
      </c>
      <c r="F12" s="390"/>
      <c r="G12" s="285">
        <f>D12-E12</f>
        <v>0</v>
      </c>
      <c r="H12" s="289">
        <f t="shared" si="1"/>
        <v>0</v>
      </c>
      <c r="I12" s="289">
        <f t="shared" si="3"/>
        <v>0</v>
      </c>
      <c r="J12" s="1309"/>
    </row>
    <row r="13" spans="1:10" s="186" customFormat="1" hidden="1" x14ac:dyDescent="0.2">
      <c r="A13" s="385"/>
      <c r="B13" s="386" t="s">
        <v>146</v>
      </c>
      <c r="C13" s="387"/>
      <c r="D13" s="389"/>
      <c r="E13" s="389"/>
      <c r="F13" s="389"/>
      <c r="G13" s="389">
        <f t="shared" ref="G13:G32" si="5">D13-E13</f>
        <v>0</v>
      </c>
      <c r="H13" s="289">
        <f t="shared" si="1"/>
        <v>0</v>
      </c>
      <c r="I13" s="289">
        <f t="shared" si="3"/>
        <v>0</v>
      </c>
      <c r="J13" s="1309"/>
    </row>
    <row r="14" spans="1:10" s="186" customFormat="1" hidden="1" x14ac:dyDescent="0.2">
      <c r="A14" s="385"/>
      <c r="B14" s="386" t="s">
        <v>147</v>
      </c>
      <c r="C14" s="387"/>
      <c r="D14" s="456">
        <f>D12</f>
        <v>0</v>
      </c>
      <c r="E14" s="456">
        <f t="shared" ref="E14:F14" si="6">E12</f>
        <v>0</v>
      </c>
      <c r="F14" s="456">
        <f t="shared" si="6"/>
        <v>0</v>
      </c>
      <c r="G14" s="389">
        <f t="shared" si="5"/>
        <v>0</v>
      </c>
      <c r="H14" s="289">
        <f t="shared" si="1"/>
        <v>0</v>
      </c>
      <c r="I14" s="289">
        <f t="shared" si="3"/>
        <v>0</v>
      </c>
      <c r="J14" s="1309"/>
    </row>
    <row r="15" spans="1:10" ht="140.25" x14ac:dyDescent="0.2">
      <c r="A15" s="195"/>
      <c r="B15" s="477" t="s">
        <v>223</v>
      </c>
      <c r="C15" s="144" t="s">
        <v>220</v>
      </c>
      <c r="D15" s="284">
        <v>2000000</v>
      </c>
      <c r="E15" s="189">
        <f>'Прочая  субсидия_МР  и  ГО'!V38</f>
        <v>2000000</v>
      </c>
      <c r="F15" s="189">
        <f>'Прочая  субсидия_МР  и  ГО'!W38</f>
        <v>1668344.04</v>
      </c>
      <c r="G15" s="285">
        <f t="shared" si="5"/>
        <v>0</v>
      </c>
      <c r="H15" s="289">
        <f t="shared" si="1"/>
        <v>0</v>
      </c>
      <c r="I15" s="289">
        <f t="shared" si="3"/>
        <v>0</v>
      </c>
    </row>
    <row r="16" spans="1:10" x14ac:dyDescent="0.2">
      <c r="A16" s="385"/>
      <c r="B16" s="386" t="s">
        <v>146</v>
      </c>
      <c r="C16" s="387"/>
      <c r="D16" s="389">
        <f>D15</f>
        <v>2000000</v>
      </c>
      <c r="E16" s="389">
        <f>E15</f>
        <v>2000000</v>
      </c>
      <c r="F16" s="389">
        <f>F15</f>
        <v>1668344.04</v>
      </c>
      <c r="G16" s="389">
        <f t="shared" si="5"/>
        <v>0</v>
      </c>
      <c r="H16" s="289">
        <f t="shared" si="1"/>
        <v>0</v>
      </c>
      <c r="I16" s="289">
        <f t="shared" si="3"/>
        <v>0</v>
      </c>
    </row>
    <row r="17" spans="1:10" x14ac:dyDescent="0.2">
      <c r="A17" s="385"/>
      <c r="B17" s="386" t="s">
        <v>147</v>
      </c>
      <c r="C17" s="387"/>
      <c r="D17" s="389"/>
      <c r="E17" s="389"/>
      <c r="F17" s="389"/>
      <c r="G17" s="389">
        <f t="shared" si="5"/>
        <v>0</v>
      </c>
      <c r="H17" s="289">
        <f t="shared" si="1"/>
        <v>0</v>
      </c>
      <c r="I17" s="289">
        <f t="shared" si="3"/>
        <v>0</v>
      </c>
    </row>
    <row r="18" spans="1:10" ht="153" hidden="1" x14ac:dyDescent="0.2">
      <c r="A18" s="1139"/>
      <c r="B18" s="477" t="s">
        <v>543</v>
      </c>
      <c r="C18" s="144" t="s">
        <v>542</v>
      </c>
      <c r="D18" s="284"/>
      <c r="E18" s="201"/>
      <c r="F18" s="201"/>
      <c r="G18" s="285">
        <f t="shared" si="5"/>
        <v>0</v>
      </c>
      <c r="H18" s="289">
        <f t="shared" si="1"/>
        <v>0</v>
      </c>
      <c r="I18" s="289">
        <f t="shared" si="3"/>
        <v>0</v>
      </c>
    </row>
    <row r="19" spans="1:10" hidden="1" x14ac:dyDescent="0.2">
      <c r="A19" s="385"/>
      <c r="B19" s="386" t="s">
        <v>146</v>
      </c>
      <c r="C19" s="387"/>
      <c r="D19" s="389">
        <f>D18</f>
        <v>0</v>
      </c>
      <c r="E19" s="389">
        <f>E18</f>
        <v>0</v>
      </c>
      <c r="F19" s="389">
        <f>F18</f>
        <v>0</v>
      </c>
      <c r="G19" s="389">
        <f t="shared" si="5"/>
        <v>0</v>
      </c>
      <c r="H19" s="289">
        <f t="shared" si="1"/>
        <v>0</v>
      </c>
      <c r="I19" s="289">
        <f t="shared" si="3"/>
        <v>0</v>
      </c>
    </row>
    <row r="20" spans="1:10" hidden="1" x14ac:dyDescent="0.2">
      <c r="A20" s="385"/>
      <c r="B20" s="386" t="s">
        <v>147</v>
      </c>
      <c r="C20" s="387"/>
      <c r="D20" s="389">
        <f>D18-D19</f>
        <v>0</v>
      </c>
      <c r="E20" s="389">
        <f>E18-E19</f>
        <v>0</v>
      </c>
      <c r="F20" s="389">
        <f>F18-F19</f>
        <v>0</v>
      </c>
      <c r="G20" s="389">
        <f t="shared" si="5"/>
        <v>0</v>
      </c>
      <c r="H20" s="289">
        <f t="shared" si="1"/>
        <v>0</v>
      </c>
      <c r="I20" s="289">
        <f t="shared" si="3"/>
        <v>0</v>
      </c>
    </row>
    <row r="21" spans="1:10" ht="191.25" x14ac:dyDescent="0.2">
      <c r="A21" s="1114"/>
      <c r="B21" s="477" t="s">
        <v>681</v>
      </c>
      <c r="C21" s="144" t="s">
        <v>526</v>
      </c>
      <c r="D21" s="284">
        <v>2999999.9999999995</v>
      </c>
      <c r="E21" s="201">
        <f>'Проверочная  таблица'!GN38</f>
        <v>3000000</v>
      </c>
      <c r="F21" s="201">
        <f>'Проверочная  таблица'!GQ38</f>
        <v>1412531.22</v>
      </c>
      <c r="G21" s="285">
        <f t="shared" si="5"/>
        <v>0</v>
      </c>
      <c r="H21" s="289">
        <f t="shared" si="1"/>
        <v>0</v>
      </c>
      <c r="I21" s="289">
        <f t="shared" si="3"/>
        <v>0</v>
      </c>
      <c r="J21" s="1523">
        <f>D21+D24</f>
        <v>6003700</v>
      </c>
    </row>
    <row r="22" spans="1:10" x14ac:dyDescent="0.2">
      <c r="A22" s="385"/>
      <c r="B22" s="386" t="s">
        <v>146</v>
      </c>
      <c r="C22" s="387"/>
      <c r="D22" s="389">
        <f>D21</f>
        <v>2999999.9999999995</v>
      </c>
      <c r="E22" s="389">
        <f>E21</f>
        <v>3000000</v>
      </c>
      <c r="F22" s="389">
        <f>F21</f>
        <v>1412531.22</v>
      </c>
      <c r="G22" s="389">
        <f t="shared" si="5"/>
        <v>0</v>
      </c>
      <c r="H22" s="289">
        <f t="shared" si="1"/>
        <v>0</v>
      </c>
      <c r="I22" s="289">
        <f t="shared" si="3"/>
        <v>0</v>
      </c>
    </row>
    <row r="23" spans="1:10" x14ac:dyDescent="0.2">
      <c r="A23" s="385"/>
      <c r="B23" s="386" t="s">
        <v>147</v>
      </c>
      <c r="C23" s="387"/>
      <c r="D23" s="389"/>
      <c r="E23" s="389"/>
      <c r="F23" s="389"/>
      <c r="G23" s="389">
        <f t="shared" si="5"/>
        <v>0</v>
      </c>
      <c r="H23" s="289">
        <f t="shared" si="1"/>
        <v>0</v>
      </c>
      <c r="I23" s="289">
        <f t="shared" si="3"/>
        <v>0</v>
      </c>
      <c r="J23" s="1523"/>
    </row>
    <row r="24" spans="1:10" x14ac:dyDescent="0.2">
      <c r="A24" s="692"/>
      <c r="B24" s="1117"/>
      <c r="C24" s="681" t="s">
        <v>526</v>
      </c>
      <c r="D24" s="1118">
        <v>3003700.0000000005</v>
      </c>
      <c r="E24" s="1119">
        <f>'Проверочная  таблица'!GO38</f>
        <v>3003700</v>
      </c>
      <c r="F24" s="1119">
        <f>'Проверочная  таблица'!GR38</f>
        <v>1414273.3299999998</v>
      </c>
      <c r="G24" s="1120">
        <f t="shared" si="5"/>
        <v>0</v>
      </c>
      <c r="H24" s="289">
        <f t="shared" si="1"/>
        <v>0</v>
      </c>
      <c r="I24" s="289">
        <f t="shared" si="3"/>
        <v>0</v>
      </c>
    </row>
    <row r="25" spans="1:10" x14ac:dyDescent="0.2">
      <c r="A25" s="692"/>
      <c r="B25" s="696" t="s">
        <v>146</v>
      </c>
      <c r="C25" s="697"/>
      <c r="D25" s="695">
        <f>D24</f>
        <v>3003700.0000000005</v>
      </c>
      <c r="E25" s="695">
        <f>E24</f>
        <v>3003700</v>
      </c>
      <c r="F25" s="695">
        <f>F24</f>
        <v>1414273.3299999998</v>
      </c>
      <c r="G25" s="695">
        <f t="shared" si="5"/>
        <v>0</v>
      </c>
      <c r="H25" s="289">
        <f t="shared" si="1"/>
        <v>0</v>
      </c>
      <c r="I25" s="289">
        <f t="shared" si="3"/>
        <v>0</v>
      </c>
    </row>
    <row r="26" spans="1:10" x14ac:dyDescent="0.2">
      <c r="A26" s="692"/>
      <c r="B26" s="696" t="s">
        <v>147</v>
      </c>
      <c r="C26" s="697"/>
      <c r="D26" s="695"/>
      <c r="E26" s="695"/>
      <c r="F26" s="695"/>
      <c r="G26" s="695">
        <f t="shared" si="5"/>
        <v>0</v>
      </c>
      <c r="H26" s="289">
        <f t="shared" si="1"/>
        <v>0</v>
      </c>
      <c r="I26" s="289">
        <f t="shared" si="3"/>
        <v>0</v>
      </c>
    </row>
    <row r="27" spans="1:10" ht="153" x14ac:dyDescent="0.2">
      <c r="A27" s="978"/>
      <c r="B27" s="477" t="s">
        <v>541</v>
      </c>
      <c r="C27" s="144" t="s">
        <v>540</v>
      </c>
      <c r="D27" s="284">
        <v>1300000</v>
      </c>
      <c r="E27" s="189">
        <f>'Прочая  субсидия_МР  и  ГО'!X38</f>
        <v>1300000</v>
      </c>
      <c r="F27" s="189">
        <f>'Прочая  субсидия_МР  и  ГО'!Y38</f>
        <v>788415.96000000008</v>
      </c>
      <c r="G27" s="285">
        <f t="shared" ref="G27:G29" si="7">D27-E27</f>
        <v>0</v>
      </c>
      <c r="H27" s="289">
        <f t="shared" ref="H27:H29" si="8">IF(F27&gt;E27,1,0)</f>
        <v>0</v>
      </c>
      <c r="I27" s="289">
        <f t="shared" ref="I27:I29" si="9">IF(G27&lt;0,1,0)</f>
        <v>0</v>
      </c>
    </row>
    <row r="28" spans="1:10" x14ac:dyDescent="0.2">
      <c r="A28" s="385"/>
      <c r="B28" s="386" t="s">
        <v>146</v>
      </c>
      <c r="C28" s="387"/>
      <c r="D28" s="389">
        <f>D27</f>
        <v>1300000</v>
      </c>
      <c r="E28" s="389">
        <f>E27</f>
        <v>1300000</v>
      </c>
      <c r="F28" s="389">
        <f>F27</f>
        <v>788415.96000000008</v>
      </c>
      <c r="G28" s="389">
        <f t="shared" si="7"/>
        <v>0</v>
      </c>
      <c r="H28" s="289">
        <f t="shared" si="8"/>
        <v>0</v>
      </c>
      <c r="I28" s="289">
        <f t="shared" si="9"/>
        <v>0</v>
      </c>
    </row>
    <row r="29" spans="1:10" x14ac:dyDescent="0.2">
      <c r="A29" s="385"/>
      <c r="B29" s="386" t="s">
        <v>147</v>
      </c>
      <c r="C29" s="387"/>
      <c r="D29" s="389"/>
      <c r="E29" s="389"/>
      <c r="F29" s="389"/>
      <c r="G29" s="389">
        <f t="shared" si="7"/>
        <v>0</v>
      </c>
      <c r="H29" s="289">
        <f t="shared" si="8"/>
        <v>0</v>
      </c>
      <c r="I29" s="289">
        <f t="shared" si="9"/>
        <v>0</v>
      </c>
    </row>
    <row r="30" spans="1:10" ht="127.5" x14ac:dyDescent="0.2">
      <c r="A30" s="195"/>
      <c r="B30" s="477" t="s">
        <v>282</v>
      </c>
      <c r="C30" s="144" t="s">
        <v>281</v>
      </c>
      <c r="D30" s="284">
        <v>15364000</v>
      </c>
      <c r="E30" s="189">
        <f>'Прочая  субсидия_МР  и  ГО'!AN38</f>
        <v>15364000</v>
      </c>
      <c r="F30" s="189">
        <f>'Прочая  субсидия_МР  и  ГО'!AO38</f>
        <v>9010888.4100000001</v>
      </c>
      <c r="G30" s="285">
        <f t="shared" si="5"/>
        <v>0</v>
      </c>
      <c r="H30" s="289">
        <f t="shared" si="1"/>
        <v>0</v>
      </c>
      <c r="I30" s="289">
        <f t="shared" si="3"/>
        <v>0</v>
      </c>
    </row>
    <row r="31" spans="1:10" x14ac:dyDescent="0.2">
      <c r="A31" s="385"/>
      <c r="B31" s="386" t="s">
        <v>146</v>
      </c>
      <c r="C31" s="387"/>
      <c r="D31" s="389">
        <f>D30</f>
        <v>15364000</v>
      </c>
      <c r="E31" s="389">
        <f>E30</f>
        <v>15364000</v>
      </c>
      <c r="F31" s="389">
        <f>F30</f>
        <v>9010888.4100000001</v>
      </c>
      <c r="G31" s="389">
        <f t="shared" si="5"/>
        <v>0</v>
      </c>
      <c r="H31" s="289">
        <f t="shared" si="1"/>
        <v>0</v>
      </c>
      <c r="I31" s="289">
        <f t="shared" si="3"/>
        <v>0</v>
      </c>
    </row>
    <row r="32" spans="1:10" x14ac:dyDescent="0.2">
      <c r="A32" s="385"/>
      <c r="B32" s="386" t="s">
        <v>147</v>
      </c>
      <c r="C32" s="387"/>
      <c r="D32" s="389"/>
      <c r="E32" s="389"/>
      <c r="F32" s="389"/>
      <c r="G32" s="389">
        <f t="shared" si="5"/>
        <v>0</v>
      </c>
      <c r="H32" s="289">
        <f t="shared" si="1"/>
        <v>0</v>
      </c>
      <c r="I32" s="289">
        <f t="shared" si="3"/>
        <v>0</v>
      </c>
    </row>
    <row r="33" spans="1:10" x14ac:dyDescent="0.2">
      <c r="A33" s="195"/>
      <c r="B33" s="479"/>
      <c r="C33" s="191"/>
      <c r="D33" s="286"/>
      <c r="E33" s="189"/>
      <c r="F33" s="189"/>
      <c r="G33" s="285"/>
      <c r="H33" s="289">
        <f t="shared" si="1"/>
        <v>0</v>
      </c>
      <c r="I33" s="289">
        <f t="shared" si="3"/>
        <v>0</v>
      </c>
    </row>
    <row r="34" spans="1:10" hidden="1" x14ac:dyDescent="0.2">
      <c r="A34" s="187" t="s">
        <v>105</v>
      </c>
      <c r="B34" s="251" t="s">
        <v>106</v>
      </c>
      <c r="C34" s="193"/>
      <c r="D34" s="287">
        <f>D39+D42</f>
        <v>0</v>
      </c>
      <c r="E34" s="287">
        <f t="shared" ref="E34:G34" si="10">E39+E42</f>
        <v>0</v>
      </c>
      <c r="F34" s="287">
        <f t="shared" si="10"/>
        <v>0</v>
      </c>
      <c r="G34" s="287">
        <f t="shared" si="10"/>
        <v>0</v>
      </c>
      <c r="H34" s="289">
        <f t="shared" ref="H34:H50" si="11">IF(F34&gt;E34,1,0)</f>
        <v>0</v>
      </c>
      <c r="I34" s="289">
        <f t="shared" si="3"/>
        <v>0</v>
      </c>
    </row>
    <row r="35" spans="1:10" hidden="1" x14ac:dyDescent="0.2">
      <c r="A35" s="378"/>
      <c r="B35" s="379" t="s">
        <v>146</v>
      </c>
      <c r="C35" s="380"/>
      <c r="D35" s="505">
        <f>D40+D43</f>
        <v>0</v>
      </c>
      <c r="E35" s="505">
        <f t="shared" ref="E35:G35" si="12">E40+E43</f>
        <v>0</v>
      </c>
      <c r="F35" s="505">
        <f t="shared" si="12"/>
        <v>0</v>
      </c>
      <c r="G35" s="505">
        <f t="shared" si="12"/>
        <v>0</v>
      </c>
      <c r="H35" s="289">
        <f t="shared" si="11"/>
        <v>0</v>
      </c>
      <c r="I35" s="289">
        <f t="shared" si="3"/>
        <v>0</v>
      </c>
    </row>
    <row r="36" spans="1:10" hidden="1" x14ac:dyDescent="0.2">
      <c r="A36" s="378"/>
      <c r="B36" s="379" t="s">
        <v>147</v>
      </c>
      <c r="C36" s="380"/>
      <c r="D36" s="505">
        <f>D41+D44</f>
        <v>0</v>
      </c>
      <c r="E36" s="505">
        <f t="shared" ref="E36:G36" si="13">E41+E44</f>
        <v>0</v>
      </c>
      <c r="F36" s="505">
        <f t="shared" si="13"/>
        <v>0</v>
      </c>
      <c r="G36" s="505">
        <f t="shared" si="13"/>
        <v>0</v>
      </c>
      <c r="H36" s="289">
        <f t="shared" si="11"/>
        <v>0</v>
      </c>
      <c r="I36" s="289">
        <f t="shared" si="3"/>
        <v>0</v>
      </c>
    </row>
    <row r="37" spans="1:10" hidden="1" x14ac:dyDescent="0.2">
      <c r="A37" s="378"/>
      <c r="B37" s="379" t="s">
        <v>313</v>
      </c>
      <c r="C37" s="380"/>
      <c r="D37" s="505">
        <f>D34-D35-D36</f>
        <v>0</v>
      </c>
      <c r="E37" s="505">
        <f t="shared" ref="E37:G37" si="14">E34-E35-E36</f>
        <v>0</v>
      </c>
      <c r="F37" s="505">
        <f t="shared" si="14"/>
        <v>0</v>
      </c>
      <c r="G37" s="505">
        <f t="shared" si="14"/>
        <v>0</v>
      </c>
      <c r="H37" s="289">
        <f t="shared" ref="H37" si="15">IF(F37&gt;E37,1,0)</f>
        <v>0</v>
      </c>
      <c r="I37" s="289">
        <f t="shared" ref="I37" si="16">IF(G37&lt;0,1,0)</f>
        <v>0</v>
      </c>
    </row>
    <row r="38" spans="1:10" hidden="1" x14ac:dyDescent="0.2">
      <c r="A38" s="195"/>
      <c r="B38" s="476" t="s">
        <v>38</v>
      </c>
      <c r="C38" s="191"/>
      <c r="D38" s="286"/>
      <c r="E38" s="189"/>
      <c r="F38" s="189"/>
      <c r="G38" s="285"/>
      <c r="H38" s="289">
        <f t="shared" si="11"/>
        <v>0</v>
      </c>
      <c r="I38" s="289">
        <f t="shared" si="3"/>
        <v>0</v>
      </c>
    </row>
    <row r="39" spans="1:10" ht="165.75" hidden="1" x14ac:dyDescent="0.2">
      <c r="A39" s="1139"/>
      <c r="B39" s="477" t="s">
        <v>326</v>
      </c>
      <c r="C39" s="144" t="s">
        <v>200</v>
      </c>
      <c r="D39" s="284"/>
      <c r="E39" s="189"/>
      <c r="F39" s="189"/>
      <c r="G39" s="285">
        <f t="shared" ref="G39:G44" si="17">D39-E39</f>
        <v>0</v>
      </c>
      <c r="H39" s="289">
        <f t="shared" si="11"/>
        <v>0</v>
      </c>
      <c r="I39" s="289">
        <f t="shared" si="3"/>
        <v>0</v>
      </c>
    </row>
    <row r="40" spans="1:10" hidden="1" x14ac:dyDescent="0.2">
      <c r="A40" s="385"/>
      <c r="B40" s="386" t="s">
        <v>146</v>
      </c>
      <c r="C40" s="387"/>
      <c r="D40" s="389">
        <f>D39</f>
        <v>0</v>
      </c>
      <c r="E40" s="389">
        <f>E39</f>
        <v>0</v>
      </c>
      <c r="F40" s="389">
        <f>F39</f>
        <v>0</v>
      </c>
      <c r="G40" s="389">
        <f t="shared" si="17"/>
        <v>0</v>
      </c>
      <c r="H40" s="289">
        <f t="shared" si="11"/>
        <v>0</v>
      </c>
      <c r="I40" s="289">
        <f t="shared" si="3"/>
        <v>0</v>
      </c>
    </row>
    <row r="41" spans="1:10" hidden="1" x14ac:dyDescent="0.2">
      <c r="A41" s="385"/>
      <c r="B41" s="386" t="s">
        <v>147</v>
      </c>
      <c r="C41" s="387"/>
      <c r="D41" s="389"/>
      <c r="E41" s="389"/>
      <c r="F41" s="389"/>
      <c r="G41" s="389">
        <f t="shared" si="17"/>
        <v>0</v>
      </c>
      <c r="H41" s="289">
        <f t="shared" si="11"/>
        <v>0</v>
      </c>
      <c r="I41" s="289">
        <f t="shared" si="3"/>
        <v>0</v>
      </c>
    </row>
    <row r="42" spans="1:10" ht="153" hidden="1" x14ac:dyDescent="0.2">
      <c r="A42" s="1139"/>
      <c r="B42" s="477" t="s">
        <v>278</v>
      </c>
      <c r="C42" s="144" t="s">
        <v>277</v>
      </c>
      <c r="D42" s="284"/>
      <c r="E42" s="189"/>
      <c r="F42" s="189"/>
      <c r="G42" s="285">
        <f t="shared" si="17"/>
        <v>0</v>
      </c>
      <c r="H42" s="289">
        <f t="shared" si="11"/>
        <v>0</v>
      </c>
      <c r="I42" s="289">
        <f t="shared" ref="I42:I44" si="18">IF(G42&lt;0,1,0)</f>
        <v>0</v>
      </c>
    </row>
    <row r="43" spans="1:10" hidden="1" x14ac:dyDescent="0.2">
      <c r="A43" s="385"/>
      <c r="B43" s="386" t="s">
        <v>146</v>
      </c>
      <c r="C43" s="387"/>
      <c r="D43" s="389"/>
      <c r="E43" s="389"/>
      <c r="F43" s="389"/>
      <c r="G43" s="389">
        <f t="shared" si="17"/>
        <v>0</v>
      </c>
      <c r="H43" s="289">
        <f t="shared" si="11"/>
        <v>0</v>
      </c>
      <c r="I43" s="289">
        <f t="shared" si="18"/>
        <v>0</v>
      </c>
    </row>
    <row r="44" spans="1:10" hidden="1" x14ac:dyDescent="0.2">
      <c r="A44" s="385"/>
      <c r="B44" s="386" t="s">
        <v>147</v>
      </c>
      <c r="C44" s="387"/>
      <c r="D44" s="389"/>
      <c r="E44" s="389"/>
      <c r="F44" s="389"/>
      <c r="G44" s="389">
        <f t="shared" si="17"/>
        <v>0</v>
      </c>
      <c r="H44" s="289">
        <f t="shared" si="11"/>
        <v>0</v>
      </c>
      <c r="I44" s="289">
        <f t="shared" si="18"/>
        <v>0</v>
      </c>
    </row>
    <row r="45" spans="1:10" hidden="1" x14ac:dyDescent="0.2">
      <c r="A45" s="385"/>
      <c r="B45" s="386" t="s">
        <v>313</v>
      </c>
      <c r="C45" s="387"/>
      <c r="D45" s="389">
        <f>D42</f>
        <v>0</v>
      </c>
      <c r="E45" s="389">
        <f t="shared" ref="E45:F45" si="19">E42</f>
        <v>0</v>
      </c>
      <c r="F45" s="389">
        <f t="shared" si="19"/>
        <v>0</v>
      </c>
      <c r="G45" s="389">
        <f t="shared" ref="G45" si="20">D45-E45</f>
        <v>0</v>
      </c>
      <c r="H45" s="289">
        <f t="shared" ref="H45" si="21">IF(F45&gt;E45,1,0)</f>
        <v>0</v>
      </c>
      <c r="I45" s="289">
        <f t="shared" ref="I45" si="22">IF(G45&lt;0,1,0)</f>
        <v>0</v>
      </c>
    </row>
    <row r="46" spans="1:10" s="801" customFormat="1" hidden="1" x14ac:dyDescent="0.2">
      <c r="A46" s="249"/>
      <c r="B46" s="477"/>
      <c r="C46" s="250"/>
      <c r="D46" s="203"/>
      <c r="E46" s="201"/>
      <c r="F46" s="201"/>
      <c r="G46" s="288"/>
      <c r="H46" s="289">
        <f t="shared" si="11"/>
        <v>0</v>
      </c>
      <c r="I46" s="289">
        <f t="shared" si="3"/>
        <v>0</v>
      </c>
      <c r="J46" s="1524"/>
    </row>
    <row r="47" spans="1:10" x14ac:dyDescent="0.2">
      <c r="A47" s="187" t="s">
        <v>123</v>
      </c>
      <c r="B47" s="251" t="s">
        <v>150</v>
      </c>
      <c r="C47" s="193"/>
      <c r="D47" s="287">
        <f>D51+D54+D60+D63+D66+D69+D72+D57</f>
        <v>2508308646.1799998</v>
      </c>
      <c r="E47" s="287">
        <f t="shared" ref="E47:G47" si="23">E51+E54+E60+E63+E66+E69+E72+E57</f>
        <v>2380734769.8200002</v>
      </c>
      <c r="F47" s="287">
        <f t="shared" si="23"/>
        <v>1284069350.76</v>
      </c>
      <c r="G47" s="287">
        <f t="shared" si="23"/>
        <v>127573876.36</v>
      </c>
      <c r="H47" s="289">
        <f t="shared" si="11"/>
        <v>0</v>
      </c>
      <c r="I47" s="289">
        <f t="shared" si="3"/>
        <v>0</v>
      </c>
    </row>
    <row r="48" spans="1:10" x14ac:dyDescent="0.2">
      <c r="A48" s="378"/>
      <c r="B48" s="379" t="s">
        <v>146</v>
      </c>
      <c r="C48" s="380"/>
      <c r="D48" s="505">
        <f>D52+D55+D58+D61+D64+D67+D70+D73</f>
        <v>1307066013.6199999</v>
      </c>
      <c r="E48" s="505">
        <f t="shared" ref="E48:G48" si="24">E52+E55+E58+E61+E64+E67+E70+E73</f>
        <v>1297802405.76</v>
      </c>
      <c r="F48" s="505">
        <f t="shared" si="24"/>
        <v>707436291.57999992</v>
      </c>
      <c r="G48" s="505">
        <f t="shared" si="24"/>
        <v>9263607.8600000143</v>
      </c>
      <c r="H48" s="289">
        <f t="shared" si="11"/>
        <v>0</v>
      </c>
      <c r="I48" s="289">
        <f t="shared" si="3"/>
        <v>0</v>
      </c>
    </row>
    <row r="49" spans="1:11" x14ac:dyDescent="0.2">
      <c r="A49" s="378"/>
      <c r="B49" s="379" t="s">
        <v>147</v>
      </c>
      <c r="C49" s="380"/>
      <c r="D49" s="505">
        <f>D47-D48</f>
        <v>1201242632.5599999</v>
      </c>
      <c r="E49" s="505">
        <f t="shared" ref="E49:G49" si="25">E47-E48</f>
        <v>1082932364.0600002</v>
      </c>
      <c r="F49" s="505">
        <f t="shared" si="25"/>
        <v>576633059.18000007</v>
      </c>
      <c r="G49" s="505">
        <f t="shared" si="25"/>
        <v>118310268.49999999</v>
      </c>
      <c r="H49" s="289">
        <f t="shared" si="11"/>
        <v>0</v>
      </c>
      <c r="I49" s="289">
        <f t="shared" si="3"/>
        <v>0</v>
      </c>
    </row>
    <row r="50" spans="1:11" x14ac:dyDescent="0.2">
      <c r="A50" s="195"/>
      <c r="B50" s="476" t="s">
        <v>38</v>
      </c>
      <c r="C50" s="191"/>
      <c r="D50" s="286"/>
      <c r="E50" s="189"/>
      <c r="F50" s="189"/>
      <c r="G50" s="285"/>
      <c r="H50" s="289">
        <f t="shared" si="11"/>
        <v>0</v>
      </c>
      <c r="I50" s="289">
        <f t="shared" si="3"/>
        <v>0</v>
      </c>
    </row>
    <row r="51" spans="1:11" ht="102" x14ac:dyDescent="0.2">
      <c r="A51" s="249"/>
      <c r="B51" s="477" t="s">
        <v>533</v>
      </c>
      <c r="C51" s="144" t="s">
        <v>532</v>
      </c>
      <c r="D51" s="1465">
        <f>29999439.1+31751695.21-3114262.8+32143838.56-7422123</f>
        <v>83358587.070000008</v>
      </c>
      <c r="E51" s="201">
        <f>'Проверочная  таблица'!DK37</f>
        <v>58636871.510000005</v>
      </c>
      <c r="F51" s="201">
        <f>'Проверочная  таблица'!DO37</f>
        <v>32023298.75</v>
      </c>
      <c r="G51" s="285">
        <f t="shared" ref="G51:G56" si="26">D51-E51</f>
        <v>24721715.560000002</v>
      </c>
      <c r="H51" s="289">
        <f t="shared" ref="H51:H56" si="27">IF(F51&gt;E51,1,0)</f>
        <v>0</v>
      </c>
      <c r="I51" s="289">
        <f t="shared" ref="I51:I56" si="28">IF(G51&lt;0,1,0)</f>
        <v>0</v>
      </c>
      <c r="J51" s="1523">
        <f>D51+D54</f>
        <v>420664310.06999999</v>
      </c>
      <c r="K51" s="1633">
        <f>G51+G54</f>
        <v>65690791.5</v>
      </c>
    </row>
    <row r="52" spans="1:11" x14ac:dyDescent="0.2">
      <c r="A52" s="385"/>
      <c r="B52" s="386" t="s">
        <v>146</v>
      </c>
      <c r="C52" s="387"/>
      <c r="D52" s="389"/>
      <c r="E52" s="389"/>
      <c r="F52" s="389"/>
      <c r="G52" s="389">
        <f t="shared" si="26"/>
        <v>0</v>
      </c>
      <c r="H52" s="289">
        <f t="shared" si="27"/>
        <v>0</v>
      </c>
      <c r="I52" s="289">
        <f t="shared" si="28"/>
        <v>0</v>
      </c>
      <c r="J52" s="1525"/>
    </row>
    <row r="53" spans="1:11" x14ac:dyDescent="0.2">
      <c r="A53" s="385"/>
      <c r="B53" s="386" t="s">
        <v>147</v>
      </c>
      <c r="C53" s="387"/>
      <c r="D53" s="389">
        <f>D51-D52</f>
        <v>83358587.070000008</v>
      </c>
      <c r="E53" s="389">
        <f>E51-E52</f>
        <v>58636871.510000005</v>
      </c>
      <c r="F53" s="389">
        <f>F51-F52</f>
        <v>32023298.75</v>
      </c>
      <c r="G53" s="389">
        <f t="shared" si="26"/>
        <v>24721715.560000002</v>
      </c>
      <c r="H53" s="289">
        <f t="shared" si="27"/>
        <v>0</v>
      </c>
      <c r="I53" s="289">
        <f t="shared" si="28"/>
        <v>0</v>
      </c>
      <c r="J53" s="1310">
        <f>D53+D56-'субсидия  ВР 522'!C8</f>
        <v>0</v>
      </c>
    </row>
    <row r="54" spans="1:11" x14ac:dyDescent="0.2">
      <c r="A54" s="692"/>
      <c r="B54" s="693" t="s">
        <v>58</v>
      </c>
      <c r="C54" s="681" t="s">
        <v>532</v>
      </c>
      <c r="D54" s="694">
        <f>329883600+7422123</f>
        <v>337305723</v>
      </c>
      <c r="E54" s="691">
        <f>'Проверочная  таблица'!DL37</f>
        <v>296336647.06</v>
      </c>
      <c r="F54" s="691">
        <f>'Проверочная  таблица'!DP37</f>
        <v>138180933.74000001</v>
      </c>
      <c r="G54" s="695">
        <f t="shared" si="26"/>
        <v>40969075.939999998</v>
      </c>
      <c r="H54" s="289">
        <f t="shared" si="27"/>
        <v>0</v>
      </c>
      <c r="I54" s="289">
        <f t="shared" si="28"/>
        <v>0</v>
      </c>
      <c r="K54" s="1649"/>
    </row>
    <row r="55" spans="1:11" x14ac:dyDescent="0.2">
      <c r="A55" s="692"/>
      <c r="B55" s="696" t="s">
        <v>146</v>
      </c>
      <c r="C55" s="697"/>
      <c r="D55" s="695"/>
      <c r="E55" s="695"/>
      <c r="F55" s="695"/>
      <c r="G55" s="695">
        <f t="shared" si="26"/>
        <v>0</v>
      </c>
      <c r="H55" s="289">
        <f t="shared" si="27"/>
        <v>0</v>
      </c>
      <c r="I55" s="289">
        <f t="shared" si="28"/>
        <v>0</v>
      </c>
    </row>
    <row r="56" spans="1:11" x14ac:dyDescent="0.2">
      <c r="A56" s="692"/>
      <c r="B56" s="696" t="s">
        <v>147</v>
      </c>
      <c r="C56" s="697"/>
      <c r="D56" s="695">
        <f>D54-D55</f>
        <v>337305723</v>
      </c>
      <c r="E56" s="695">
        <f>E54-E55</f>
        <v>296336647.06</v>
      </c>
      <c r="F56" s="695">
        <f>F54-F55</f>
        <v>138180933.74000001</v>
      </c>
      <c r="G56" s="695">
        <f t="shared" si="26"/>
        <v>40969075.939999998</v>
      </c>
      <c r="H56" s="289">
        <f t="shared" si="27"/>
        <v>0</v>
      </c>
      <c r="I56" s="289">
        <f t="shared" si="28"/>
        <v>0</v>
      </c>
    </row>
    <row r="57" spans="1:11" ht="165.75" x14ac:dyDescent="0.2">
      <c r="A57" s="249"/>
      <c r="B57" s="477" t="s">
        <v>829</v>
      </c>
      <c r="C57" s="144" t="s">
        <v>827</v>
      </c>
      <c r="D57" s="1465">
        <v>17616670.640000001</v>
      </c>
      <c r="E57" s="201">
        <f>'Проверочная  таблица'!DJ37</f>
        <v>0</v>
      </c>
      <c r="F57" s="201">
        <f>'Проверочная  таблица'!DN37</f>
        <v>0</v>
      </c>
      <c r="G57" s="285">
        <f t="shared" ref="G57:G59" si="29">D57-E57</f>
        <v>17616670.640000001</v>
      </c>
      <c r="H57" s="289">
        <f t="shared" ref="H57:H59" si="30">IF(F57&gt;E57,1,0)</f>
        <v>0</v>
      </c>
      <c r="I57" s="289">
        <f t="shared" ref="I57:I59" si="31">IF(G57&lt;0,1,0)</f>
        <v>0</v>
      </c>
    </row>
    <row r="58" spans="1:11" x14ac:dyDescent="0.2">
      <c r="A58" s="385"/>
      <c r="B58" s="386" t="s">
        <v>146</v>
      </c>
      <c r="C58" s="387"/>
      <c r="D58" s="389"/>
      <c r="E58" s="389"/>
      <c r="F58" s="389"/>
      <c r="G58" s="389">
        <f t="shared" si="29"/>
        <v>0</v>
      </c>
      <c r="H58" s="289">
        <f t="shared" si="30"/>
        <v>0</v>
      </c>
      <c r="I58" s="289">
        <f t="shared" si="31"/>
        <v>0</v>
      </c>
    </row>
    <row r="59" spans="1:11" x14ac:dyDescent="0.2">
      <c r="A59" s="385"/>
      <c r="B59" s="386" t="s">
        <v>147</v>
      </c>
      <c r="C59" s="387"/>
      <c r="D59" s="389">
        <f>D57-D58</f>
        <v>17616670.640000001</v>
      </c>
      <c r="E59" s="389">
        <f>E57-E58</f>
        <v>0</v>
      </c>
      <c r="F59" s="389">
        <f>F57-F58</f>
        <v>0</v>
      </c>
      <c r="G59" s="389">
        <f t="shared" si="29"/>
        <v>17616670.640000001</v>
      </c>
      <c r="H59" s="289">
        <f t="shared" si="30"/>
        <v>0</v>
      </c>
      <c r="I59" s="289">
        <f t="shared" si="31"/>
        <v>0</v>
      </c>
    </row>
    <row r="60" spans="1:11" ht="204" x14ac:dyDescent="0.2">
      <c r="A60" s="265"/>
      <c r="B60" s="480" t="s">
        <v>226</v>
      </c>
      <c r="C60" s="144" t="s">
        <v>207</v>
      </c>
      <c r="D60" s="203">
        <f>199697806.21+14722000+19528000</f>
        <v>233947806.21000001</v>
      </c>
      <c r="E60" s="201">
        <f>'Проверочная  таблица'!BV38</f>
        <v>213944999.85000002</v>
      </c>
      <c r="F60" s="201">
        <f>'Проверочная  таблица'!CA38</f>
        <v>90813101.620000005</v>
      </c>
      <c r="G60" s="285">
        <f t="shared" ref="G60" si="32">D60-E60</f>
        <v>20002806.359999985</v>
      </c>
      <c r="H60" s="289">
        <f t="shared" ref="H60:H62" si="33">IF(F60&gt;E60,1,0)</f>
        <v>0</v>
      </c>
      <c r="I60" s="289">
        <f t="shared" si="3"/>
        <v>0</v>
      </c>
    </row>
    <row r="61" spans="1:11" x14ac:dyDescent="0.2">
      <c r="A61" s="385"/>
      <c r="B61" s="386" t="s">
        <v>146</v>
      </c>
      <c r="C61" s="387"/>
      <c r="D61" s="389"/>
      <c r="E61" s="389"/>
      <c r="F61" s="389"/>
      <c r="G61" s="389">
        <v>0</v>
      </c>
      <c r="H61" s="289">
        <f t="shared" si="33"/>
        <v>0</v>
      </c>
      <c r="I61" s="289">
        <f t="shared" ref="I61:I137" si="34">IF(G61&lt;0,1,0)</f>
        <v>0</v>
      </c>
    </row>
    <row r="62" spans="1:11" x14ac:dyDescent="0.2">
      <c r="A62" s="385"/>
      <c r="B62" s="386" t="s">
        <v>147</v>
      </c>
      <c r="C62" s="387"/>
      <c r="D62" s="389">
        <f>D60-D61</f>
        <v>233947806.21000001</v>
      </c>
      <c r="E62" s="389">
        <f>E60-E61</f>
        <v>213944999.85000002</v>
      </c>
      <c r="F62" s="389">
        <f>F60-F61</f>
        <v>90813101.620000005</v>
      </c>
      <c r="G62" s="389">
        <f>G60-G61</f>
        <v>20002806.359999985</v>
      </c>
      <c r="H62" s="289">
        <f t="shared" si="33"/>
        <v>0</v>
      </c>
      <c r="I62" s="289">
        <f t="shared" si="34"/>
        <v>0</v>
      </c>
    </row>
    <row r="63" spans="1:11" ht="153" x14ac:dyDescent="0.2">
      <c r="A63" s="265"/>
      <c r="B63" s="480" t="s">
        <v>224</v>
      </c>
      <c r="C63" s="144" t="s">
        <v>218</v>
      </c>
      <c r="D63" s="203">
        <f>641770121.4+7514564.92</f>
        <v>649284686.31999993</v>
      </c>
      <c r="E63" s="201">
        <f>'Проверочная  таблица'!BW38</f>
        <v>640021078.45999992</v>
      </c>
      <c r="F63" s="201">
        <f>'Проверочная  таблица'!CB38</f>
        <v>436119762.78999996</v>
      </c>
      <c r="G63" s="285">
        <f t="shared" ref="G63:G65" si="35">D63-E63</f>
        <v>9263607.8600000143</v>
      </c>
      <c r="H63" s="289">
        <f>IF(F63&gt;E63,1,0)</f>
        <v>0</v>
      </c>
      <c r="I63" s="289">
        <f t="shared" si="34"/>
        <v>0</v>
      </c>
    </row>
    <row r="64" spans="1:11" x14ac:dyDescent="0.2">
      <c r="A64" s="385"/>
      <c r="B64" s="386" t="s">
        <v>146</v>
      </c>
      <c r="C64" s="387"/>
      <c r="D64" s="389">
        <f>D63-D65</f>
        <v>649284686.31999993</v>
      </c>
      <c r="E64" s="389">
        <f t="shared" ref="E64:F64" si="36">E63-E65</f>
        <v>640021078.45999992</v>
      </c>
      <c r="F64" s="389">
        <f t="shared" si="36"/>
        <v>436119762.78999996</v>
      </c>
      <c r="G64" s="389">
        <f t="shared" si="35"/>
        <v>9263607.8600000143</v>
      </c>
      <c r="H64" s="289">
        <f>IF(F64&gt;E64,1,0)</f>
        <v>0</v>
      </c>
      <c r="I64" s="289">
        <f t="shared" si="34"/>
        <v>0</v>
      </c>
    </row>
    <row r="65" spans="1:10" x14ac:dyDescent="0.2">
      <c r="A65" s="385"/>
      <c r="B65" s="386" t="s">
        <v>147</v>
      </c>
      <c r="C65" s="387"/>
      <c r="D65" s="388"/>
      <c r="E65" s="389">
        <f>D65</f>
        <v>0</v>
      </c>
      <c r="F65" s="389"/>
      <c r="G65" s="389">
        <f t="shared" si="35"/>
        <v>0</v>
      </c>
      <c r="H65" s="289">
        <f>IF(F65&gt;E65,1,0)</f>
        <v>0</v>
      </c>
      <c r="I65" s="289">
        <f t="shared" si="34"/>
        <v>0</v>
      </c>
    </row>
    <row r="66" spans="1:10" ht="127.5" x14ac:dyDescent="0.2">
      <c r="A66" s="1012"/>
      <c r="B66" s="480" t="s">
        <v>328</v>
      </c>
      <c r="C66" s="144" t="s">
        <v>327</v>
      </c>
      <c r="D66" s="203">
        <f>308498419.39+22699656.1</f>
        <v>331198075.49000001</v>
      </c>
      <c r="E66" s="201">
        <f>'Прочая  субсидия_МР  и  ГО'!AF38</f>
        <v>331198075.49000001</v>
      </c>
      <c r="F66" s="201">
        <f>'Прочая  субсидия_МР  и  ГО'!AG38</f>
        <v>208276717.5</v>
      </c>
      <c r="G66" s="285">
        <f t="shared" ref="G66:G68" si="37">D66-E66</f>
        <v>0</v>
      </c>
      <c r="H66" s="289">
        <f t="shared" ref="H66:H68" si="38">IF(F66&gt;E66,1,0)</f>
        <v>0</v>
      </c>
      <c r="I66" s="289">
        <f t="shared" ref="I66:I68" si="39">IF(G66&lt;0,1,0)</f>
        <v>0</v>
      </c>
    </row>
    <row r="67" spans="1:10" x14ac:dyDescent="0.2">
      <c r="A67" s="385"/>
      <c r="B67" s="386" t="s">
        <v>146</v>
      </c>
      <c r="C67" s="387"/>
      <c r="D67" s="389"/>
      <c r="E67" s="389"/>
      <c r="F67" s="389"/>
      <c r="G67" s="389">
        <f t="shared" si="37"/>
        <v>0</v>
      </c>
      <c r="H67" s="289">
        <f t="shared" si="38"/>
        <v>0</v>
      </c>
      <c r="I67" s="289">
        <f t="shared" si="39"/>
        <v>0</v>
      </c>
    </row>
    <row r="68" spans="1:10" ht="14.45" customHeight="1" x14ac:dyDescent="0.2">
      <c r="A68" s="385"/>
      <c r="B68" s="386" t="s">
        <v>147</v>
      </c>
      <c r="C68" s="387"/>
      <c r="D68" s="389">
        <f t="shared" ref="D68:E68" si="40">D66-D67</f>
        <v>331198075.49000001</v>
      </c>
      <c r="E68" s="389">
        <f t="shared" si="40"/>
        <v>331198075.49000001</v>
      </c>
      <c r="F68" s="389">
        <f>F66-F67</f>
        <v>208276717.5</v>
      </c>
      <c r="G68" s="389">
        <f t="shared" si="37"/>
        <v>0</v>
      </c>
      <c r="H68" s="289">
        <f t="shared" si="38"/>
        <v>0</v>
      </c>
      <c r="I68" s="289">
        <f t="shared" si="39"/>
        <v>0</v>
      </c>
    </row>
    <row r="69" spans="1:10" ht="127.5" x14ac:dyDescent="0.2">
      <c r="A69" s="1012"/>
      <c r="B69" s="480" t="s">
        <v>794</v>
      </c>
      <c r="C69" s="144" t="s">
        <v>736</v>
      </c>
      <c r="D69" s="203">
        <f>150000000+20000000</f>
        <v>170000000</v>
      </c>
      <c r="E69" s="201">
        <f>'Проверочная  таблица'!BX38</f>
        <v>170000000</v>
      </c>
      <c r="F69" s="201">
        <f>'Проверочная  таблица'!CC38</f>
        <v>128199146.23999999</v>
      </c>
      <c r="G69" s="285">
        <f t="shared" ref="G69:G71" si="41">D69-E69</f>
        <v>0</v>
      </c>
      <c r="H69" s="289">
        <f t="shared" ref="H69:H71" si="42">IF(F69&gt;E69,1,0)</f>
        <v>0</v>
      </c>
      <c r="I69" s="289">
        <f t="shared" ref="I69:I71" si="43">IF(G69&lt;0,1,0)</f>
        <v>0</v>
      </c>
    </row>
    <row r="70" spans="1:10" x14ac:dyDescent="0.2">
      <c r="A70" s="385"/>
      <c r="B70" s="386" t="s">
        <v>146</v>
      </c>
      <c r="C70" s="387"/>
      <c r="D70" s="389">
        <f>D69</f>
        <v>170000000</v>
      </c>
      <c r="E70" s="389">
        <f t="shared" ref="E70:F70" si="44">E69</f>
        <v>170000000</v>
      </c>
      <c r="F70" s="389">
        <f t="shared" si="44"/>
        <v>128199146.23999999</v>
      </c>
      <c r="G70" s="389">
        <f t="shared" si="41"/>
        <v>0</v>
      </c>
      <c r="H70" s="289">
        <f t="shared" si="42"/>
        <v>0</v>
      </c>
      <c r="I70" s="289">
        <f t="shared" si="43"/>
        <v>0</v>
      </c>
    </row>
    <row r="71" spans="1:10" x14ac:dyDescent="0.2">
      <c r="A71" s="385"/>
      <c r="B71" s="386" t="s">
        <v>147</v>
      </c>
      <c r="C71" s="387"/>
      <c r="D71" s="389"/>
      <c r="E71" s="389"/>
      <c r="F71" s="389"/>
      <c r="G71" s="389">
        <f t="shared" si="41"/>
        <v>0</v>
      </c>
      <c r="H71" s="289">
        <f t="shared" si="42"/>
        <v>0</v>
      </c>
      <c r="I71" s="289">
        <f t="shared" si="43"/>
        <v>0</v>
      </c>
    </row>
    <row r="72" spans="1:10" ht="216.75" x14ac:dyDescent="0.2">
      <c r="A72" s="265"/>
      <c r="B72" s="480" t="s">
        <v>657</v>
      </c>
      <c r="C72" s="144" t="s">
        <v>656</v>
      </c>
      <c r="D72" s="203">
        <f>639319097.45+46278000</f>
        <v>685597097.45000005</v>
      </c>
      <c r="E72" s="201">
        <f>'Проверочная  таблица'!BY38</f>
        <v>670597097.45000005</v>
      </c>
      <c r="F72" s="201">
        <f>'Проверочная  таблица'!CD38</f>
        <v>250456390.12</v>
      </c>
      <c r="G72" s="285">
        <f>D72-E72</f>
        <v>15000000</v>
      </c>
      <c r="H72" s="289">
        <f>IF(F72&gt;E72,1,0)</f>
        <v>0</v>
      </c>
      <c r="I72" s="289">
        <f>IF(G72&lt;0,1,0)</f>
        <v>0</v>
      </c>
    </row>
    <row r="73" spans="1:10" x14ac:dyDescent="0.2">
      <c r="A73" s="385"/>
      <c r="B73" s="386" t="s">
        <v>146</v>
      </c>
      <c r="C73" s="387"/>
      <c r="D73" s="456">
        <f>D72-D74</f>
        <v>487781327.30000007</v>
      </c>
      <c r="E73" s="456">
        <f>D73</f>
        <v>487781327.30000007</v>
      </c>
      <c r="F73" s="456">
        <f t="shared" ref="F73" si="45">F72-F74</f>
        <v>143117382.55000001</v>
      </c>
      <c r="G73" s="389">
        <f>D73-E73</f>
        <v>0</v>
      </c>
      <c r="H73" s="289">
        <f>IF(F73&gt;E73,1,0)</f>
        <v>0</v>
      </c>
      <c r="I73" s="289">
        <f>IF(G73&lt;0,1,0)</f>
        <v>0</v>
      </c>
    </row>
    <row r="74" spans="1:10" x14ac:dyDescent="0.2">
      <c r="A74" s="385"/>
      <c r="B74" s="386" t="s">
        <v>147</v>
      </c>
      <c r="C74" s="387"/>
      <c r="D74" s="388">
        <f>312815770.15-115000000</f>
        <v>197815770.14999998</v>
      </c>
      <c r="E74" s="456">
        <f>E72-E73</f>
        <v>182815770.14999998</v>
      </c>
      <c r="F74" s="1431">
        <v>107339007.56999999</v>
      </c>
      <c r="G74" s="389">
        <f>D74-E74</f>
        <v>15000000</v>
      </c>
      <c r="H74" s="289">
        <f>IF(F74&gt;E74,1,0)</f>
        <v>0</v>
      </c>
      <c r="I74" s="289">
        <f>IF(G74&lt;0,1,0)</f>
        <v>0</v>
      </c>
      <c r="J74" s="1310" t="s">
        <v>793</v>
      </c>
    </row>
    <row r="75" spans="1:10" x14ac:dyDescent="0.2">
      <c r="A75" s="195"/>
      <c r="B75" s="479"/>
      <c r="C75" s="191"/>
      <c r="D75" s="286"/>
      <c r="E75" s="189"/>
      <c r="F75" s="189"/>
      <c r="G75" s="285"/>
      <c r="H75" s="289">
        <f t="shared" ref="H75:H79" si="46">IF(F75&gt;E75,1,0)</f>
        <v>0</v>
      </c>
      <c r="I75" s="289">
        <f t="shared" si="34"/>
        <v>0</v>
      </c>
    </row>
    <row r="76" spans="1:10" ht="25.5" x14ac:dyDescent="0.2">
      <c r="A76" s="187" t="s">
        <v>115</v>
      </c>
      <c r="B76" s="251" t="s">
        <v>116</v>
      </c>
      <c r="C76" s="193"/>
      <c r="D76" s="287">
        <f t="shared" ref="D76:G76" si="47">D101+D107+D110+D92+D89+D98+D104+D95+D80+D86+D83</f>
        <v>36852800</v>
      </c>
      <c r="E76" s="287">
        <f t="shared" si="47"/>
        <v>35699700</v>
      </c>
      <c r="F76" s="287">
        <f t="shared" si="47"/>
        <v>18242248.409999996</v>
      </c>
      <c r="G76" s="287">
        <f t="shared" si="47"/>
        <v>1153100</v>
      </c>
      <c r="H76" s="289">
        <f t="shared" si="46"/>
        <v>0</v>
      </c>
      <c r="I76" s="289">
        <f t="shared" si="34"/>
        <v>0</v>
      </c>
    </row>
    <row r="77" spans="1:10" x14ac:dyDescent="0.2">
      <c r="A77" s="378"/>
      <c r="B77" s="379" t="s">
        <v>146</v>
      </c>
      <c r="C77" s="380"/>
      <c r="D77" s="505">
        <f>D81+D84+D111</f>
        <v>36852800</v>
      </c>
      <c r="E77" s="505">
        <f t="shared" ref="E77:G77" si="48">E81+E84+E111</f>
        <v>35699700</v>
      </c>
      <c r="F77" s="505">
        <f t="shared" si="48"/>
        <v>18242248.409999996</v>
      </c>
      <c r="G77" s="505">
        <f t="shared" si="48"/>
        <v>1153100</v>
      </c>
      <c r="H77" s="289">
        <f t="shared" si="46"/>
        <v>0</v>
      </c>
      <c r="I77" s="289">
        <f t="shared" si="34"/>
        <v>0</v>
      </c>
    </row>
    <row r="78" spans="1:10" x14ac:dyDescent="0.2">
      <c r="A78" s="378"/>
      <c r="B78" s="379" t="s">
        <v>147</v>
      </c>
      <c r="C78" s="380"/>
      <c r="D78" s="505">
        <f>D76-D77</f>
        <v>0</v>
      </c>
      <c r="E78" s="505">
        <f t="shared" ref="E78:G78" si="49">E76-E77</f>
        <v>0</v>
      </c>
      <c r="F78" s="505">
        <f t="shared" si="49"/>
        <v>0</v>
      </c>
      <c r="G78" s="505">
        <f t="shared" si="49"/>
        <v>0</v>
      </c>
      <c r="H78" s="289">
        <f t="shared" si="46"/>
        <v>0</v>
      </c>
      <c r="I78" s="289">
        <f t="shared" si="34"/>
        <v>0</v>
      </c>
    </row>
    <row r="79" spans="1:10" x14ac:dyDescent="0.2">
      <c r="A79" s="195"/>
      <c r="B79" s="476" t="s">
        <v>38</v>
      </c>
      <c r="C79" s="191"/>
      <c r="D79" s="286"/>
      <c r="E79" s="189"/>
      <c r="F79" s="189"/>
      <c r="G79" s="285"/>
      <c r="H79" s="289">
        <f t="shared" si="46"/>
        <v>0</v>
      </c>
      <c r="I79" s="289">
        <f t="shared" si="34"/>
        <v>0</v>
      </c>
    </row>
    <row r="80" spans="1:10" ht="127.5" x14ac:dyDescent="0.2">
      <c r="A80" s="195"/>
      <c r="B80" s="477" t="s">
        <v>523</v>
      </c>
      <c r="C80" s="250" t="s">
        <v>522</v>
      </c>
      <c r="D80" s="284">
        <v>14700000</v>
      </c>
      <c r="E80" s="189">
        <f>'Прочая  субсидия_МР  и  ГО'!P38</f>
        <v>14700000</v>
      </c>
      <c r="F80" s="189">
        <f>'Прочая  субсидия_МР  и  ГО'!Q38</f>
        <v>11072786.169999998</v>
      </c>
      <c r="G80" s="285">
        <f>D80-E80</f>
        <v>0</v>
      </c>
      <c r="H80" s="289">
        <f>IF(F80&gt;E80,1,0)</f>
        <v>0</v>
      </c>
      <c r="I80" s="289">
        <f>IF(G80&lt;0,1,0)</f>
        <v>0</v>
      </c>
    </row>
    <row r="81" spans="1:10" x14ac:dyDescent="0.2">
      <c r="A81" s="385"/>
      <c r="B81" s="386" t="s">
        <v>146</v>
      </c>
      <c r="C81" s="387"/>
      <c r="D81" s="389">
        <f>D80</f>
        <v>14700000</v>
      </c>
      <c r="E81" s="389">
        <f>E80</f>
        <v>14700000</v>
      </c>
      <c r="F81" s="389">
        <f>F80</f>
        <v>11072786.169999998</v>
      </c>
      <c r="G81" s="389">
        <f>D81-E81</f>
        <v>0</v>
      </c>
      <c r="H81" s="289">
        <f>IF(F81&gt;E81,1,0)</f>
        <v>0</v>
      </c>
      <c r="I81" s="289">
        <f>IF(G81&lt;0,1,0)</f>
        <v>0</v>
      </c>
    </row>
    <row r="82" spans="1:10" x14ac:dyDescent="0.2">
      <c r="A82" s="385"/>
      <c r="B82" s="386" t="s">
        <v>147</v>
      </c>
      <c r="C82" s="387"/>
      <c r="D82" s="389"/>
      <c r="E82" s="389"/>
      <c r="F82" s="389"/>
      <c r="G82" s="389">
        <f>D82-E82</f>
        <v>0</v>
      </c>
      <c r="H82" s="289">
        <f>IF(F82&gt;E82,1,0)</f>
        <v>0</v>
      </c>
      <c r="I82" s="289">
        <f>IF(G82&lt;0,1,0)</f>
        <v>0</v>
      </c>
    </row>
    <row r="83" spans="1:10" ht="191.25" x14ac:dyDescent="0.2">
      <c r="A83" s="265"/>
      <c r="B83" s="478" t="s">
        <v>727</v>
      </c>
      <c r="C83" s="144" t="s">
        <v>728</v>
      </c>
      <c r="D83" s="284">
        <v>5000000</v>
      </c>
      <c r="E83" s="201">
        <f>'Прочая  субсидия_МР  и  ГО'!R38</f>
        <v>4999700</v>
      </c>
      <c r="F83" s="201">
        <f>'Прочая  субсидия_МР  и  ГО'!S38</f>
        <v>0</v>
      </c>
      <c r="G83" s="285">
        <f t="shared" ref="G83:G85" si="50">D83-E83</f>
        <v>300</v>
      </c>
      <c r="H83" s="289">
        <f t="shared" ref="H83:H85" si="51">IF(F83&gt;E83,1,0)</f>
        <v>0</v>
      </c>
      <c r="I83" s="289">
        <f t="shared" ref="I83:I85" si="52">IF(G83&lt;0,1,0)</f>
        <v>0</v>
      </c>
    </row>
    <row r="84" spans="1:10" x14ac:dyDescent="0.2">
      <c r="A84" s="385"/>
      <c r="B84" s="386" t="s">
        <v>146</v>
      </c>
      <c r="C84" s="387"/>
      <c r="D84" s="456">
        <f>D83</f>
        <v>5000000</v>
      </c>
      <c r="E84" s="456">
        <f>E83</f>
        <v>4999700</v>
      </c>
      <c r="F84" s="456">
        <f>F83</f>
        <v>0</v>
      </c>
      <c r="G84" s="389">
        <f t="shared" si="50"/>
        <v>300</v>
      </c>
      <c r="H84" s="289">
        <f t="shared" si="51"/>
        <v>0</v>
      </c>
      <c r="I84" s="289">
        <f t="shared" si="52"/>
        <v>0</v>
      </c>
    </row>
    <row r="85" spans="1:10" x14ac:dyDescent="0.2">
      <c r="A85" s="385"/>
      <c r="B85" s="386" t="s">
        <v>147</v>
      </c>
      <c r="C85" s="387"/>
      <c r="D85" s="389">
        <f>D83-D84</f>
        <v>0</v>
      </c>
      <c r="E85" s="389">
        <f>E83-E84</f>
        <v>0</v>
      </c>
      <c r="F85" s="389">
        <f>F83-F84</f>
        <v>0</v>
      </c>
      <c r="G85" s="389">
        <f t="shared" si="50"/>
        <v>0</v>
      </c>
      <c r="H85" s="289">
        <f t="shared" si="51"/>
        <v>0</v>
      </c>
      <c r="I85" s="289">
        <f t="shared" si="52"/>
        <v>0</v>
      </c>
    </row>
    <row r="86" spans="1:10" ht="204" hidden="1" x14ac:dyDescent="0.2">
      <c r="A86" s="1014"/>
      <c r="B86" s="478" t="s">
        <v>709</v>
      </c>
      <c r="C86" s="144" t="s">
        <v>708</v>
      </c>
      <c r="D86" s="284"/>
      <c r="E86" s="189">
        <f>'Проверочная  таблица'!KX37</f>
        <v>0</v>
      </c>
      <c r="F86" s="189">
        <f>'Проверочная  таблица'!KZ37</f>
        <v>0</v>
      </c>
      <c r="G86" s="285">
        <f t="shared" ref="G86:G88" si="53">D86-E86</f>
        <v>0</v>
      </c>
      <c r="H86" s="289">
        <f t="shared" ref="H86:H88" si="54">IF(F86&gt;E86,1,0)</f>
        <v>0</v>
      </c>
      <c r="I86" s="289">
        <f t="shared" ref="I86:I88" si="55">IF(G86&lt;0,1,0)</f>
        <v>0</v>
      </c>
    </row>
    <row r="87" spans="1:10" hidden="1" x14ac:dyDescent="0.2">
      <c r="A87" s="385"/>
      <c r="B87" s="386" t="s">
        <v>146</v>
      </c>
      <c r="C87" s="387"/>
      <c r="D87" s="389">
        <f>D86</f>
        <v>0</v>
      </c>
      <c r="E87" s="389">
        <f>E86</f>
        <v>0</v>
      </c>
      <c r="F87" s="389">
        <f>F86</f>
        <v>0</v>
      </c>
      <c r="G87" s="389">
        <f t="shared" si="53"/>
        <v>0</v>
      </c>
      <c r="H87" s="289">
        <f t="shared" si="54"/>
        <v>0</v>
      </c>
      <c r="I87" s="289">
        <f t="shared" si="55"/>
        <v>0</v>
      </c>
    </row>
    <row r="88" spans="1:10" hidden="1" x14ac:dyDescent="0.2">
      <c r="A88" s="385"/>
      <c r="B88" s="386" t="s">
        <v>147</v>
      </c>
      <c r="C88" s="387"/>
      <c r="D88" s="389"/>
      <c r="E88" s="389"/>
      <c r="F88" s="389"/>
      <c r="G88" s="389">
        <f t="shared" si="53"/>
        <v>0</v>
      </c>
      <c r="H88" s="289">
        <f t="shared" si="54"/>
        <v>0</v>
      </c>
      <c r="I88" s="289">
        <f t="shared" si="55"/>
        <v>0</v>
      </c>
    </row>
    <row r="89" spans="1:10" ht="229.5" hidden="1" x14ac:dyDescent="0.2">
      <c r="A89" s="1014"/>
      <c r="B89" s="478" t="s">
        <v>303</v>
      </c>
      <c r="C89" s="144" t="s">
        <v>258</v>
      </c>
      <c r="D89" s="284"/>
      <c r="E89" s="201"/>
      <c r="F89" s="201"/>
      <c r="G89" s="285">
        <f t="shared" ref="G89:G100" si="56">D89-E89</f>
        <v>0</v>
      </c>
      <c r="H89" s="289">
        <f t="shared" ref="H89:H100" si="57">IF(F89&gt;E89,1,0)</f>
        <v>0</v>
      </c>
      <c r="I89" s="289">
        <f t="shared" ref="I89:I100" si="58">IF(G89&lt;0,1,0)</f>
        <v>0</v>
      </c>
    </row>
    <row r="90" spans="1:10" hidden="1" x14ac:dyDescent="0.2">
      <c r="A90" s="385"/>
      <c r="B90" s="386" t="s">
        <v>146</v>
      </c>
      <c r="C90" s="387"/>
      <c r="D90" s="388">
        <v>0</v>
      </c>
      <c r="E90" s="388"/>
      <c r="F90" s="388"/>
      <c r="G90" s="389">
        <f t="shared" si="56"/>
        <v>0</v>
      </c>
      <c r="H90" s="289">
        <f t="shared" si="57"/>
        <v>0</v>
      </c>
      <c r="I90" s="289">
        <f t="shared" si="58"/>
        <v>0</v>
      </c>
    </row>
    <row r="91" spans="1:10" hidden="1" x14ac:dyDescent="0.2">
      <c r="A91" s="385"/>
      <c r="B91" s="386" t="s">
        <v>147</v>
      </c>
      <c r="C91" s="387"/>
      <c r="D91" s="389">
        <f>D89-D90</f>
        <v>0</v>
      </c>
      <c r="E91" s="389"/>
      <c r="F91" s="389"/>
      <c r="G91" s="389">
        <f t="shared" si="56"/>
        <v>0</v>
      </c>
      <c r="H91" s="289">
        <f t="shared" si="57"/>
        <v>0</v>
      </c>
      <c r="I91" s="289">
        <f t="shared" si="58"/>
        <v>0</v>
      </c>
    </row>
    <row r="92" spans="1:10" ht="318.75" hidden="1" x14ac:dyDescent="0.2">
      <c r="A92" s="1016"/>
      <c r="B92" s="478" t="s">
        <v>247</v>
      </c>
      <c r="C92" s="144" t="s">
        <v>246</v>
      </c>
      <c r="D92" s="886"/>
      <c r="E92" s="201"/>
      <c r="F92" s="201"/>
      <c r="G92" s="285">
        <f t="shared" si="56"/>
        <v>0</v>
      </c>
      <c r="H92" s="289">
        <f t="shared" si="57"/>
        <v>0</v>
      </c>
      <c r="I92" s="289">
        <f t="shared" si="58"/>
        <v>0</v>
      </c>
      <c r="J92" s="1523">
        <f>D92+D95</f>
        <v>0</v>
      </c>
    </row>
    <row r="93" spans="1:10" hidden="1" x14ac:dyDescent="0.2">
      <c r="A93" s="385"/>
      <c r="B93" s="386" t="s">
        <v>146</v>
      </c>
      <c r="C93" s="387"/>
      <c r="D93" s="456">
        <f>D92</f>
        <v>0</v>
      </c>
      <c r="E93" s="456"/>
      <c r="F93" s="456"/>
      <c r="G93" s="456">
        <f>G92</f>
        <v>0</v>
      </c>
      <c r="H93" s="289">
        <f t="shared" si="57"/>
        <v>0</v>
      </c>
      <c r="I93" s="289">
        <f t="shared" si="58"/>
        <v>0</v>
      </c>
    </row>
    <row r="94" spans="1:10" hidden="1" x14ac:dyDescent="0.2">
      <c r="A94" s="385"/>
      <c r="B94" s="386" t="s">
        <v>147</v>
      </c>
      <c r="C94" s="387"/>
      <c r="D94" s="389">
        <f>D92-D93</f>
        <v>0</v>
      </c>
      <c r="E94" s="389"/>
      <c r="F94" s="389"/>
      <c r="G94" s="389">
        <f t="shared" si="56"/>
        <v>0</v>
      </c>
      <c r="H94" s="289">
        <f t="shared" si="57"/>
        <v>0</v>
      </c>
      <c r="I94" s="289">
        <f t="shared" si="58"/>
        <v>0</v>
      </c>
    </row>
    <row r="95" spans="1:10" hidden="1" x14ac:dyDescent="0.2">
      <c r="A95" s="692"/>
      <c r="B95" s="693" t="s">
        <v>58</v>
      </c>
      <c r="C95" s="681" t="s">
        <v>246</v>
      </c>
      <c r="D95" s="694"/>
      <c r="E95" s="691"/>
      <c r="F95" s="691"/>
      <c r="G95" s="695">
        <f t="shared" si="56"/>
        <v>0</v>
      </c>
      <c r="H95" s="289">
        <f t="shared" si="57"/>
        <v>0</v>
      </c>
      <c r="I95" s="289">
        <f>IF(G95&lt;0,1,0)</f>
        <v>0</v>
      </c>
    </row>
    <row r="96" spans="1:10" hidden="1" x14ac:dyDescent="0.2">
      <c r="A96" s="692"/>
      <c r="B96" s="696" t="s">
        <v>146</v>
      </c>
      <c r="C96" s="697"/>
      <c r="D96" s="691">
        <f>D95</f>
        <v>0</v>
      </c>
      <c r="E96" s="691"/>
      <c r="F96" s="691"/>
      <c r="G96" s="691">
        <f>G95</f>
        <v>0</v>
      </c>
      <c r="H96" s="289">
        <f t="shared" si="57"/>
        <v>0</v>
      </c>
      <c r="I96" s="289">
        <f>IF(G96&lt;0,1,0)</f>
        <v>0</v>
      </c>
    </row>
    <row r="97" spans="1:10" hidden="1" x14ac:dyDescent="0.2">
      <c r="A97" s="692"/>
      <c r="B97" s="696" t="s">
        <v>147</v>
      </c>
      <c r="C97" s="697"/>
      <c r="D97" s="695">
        <f>D95-D96</f>
        <v>0</v>
      </c>
      <c r="E97" s="695"/>
      <c r="F97" s="695"/>
      <c r="G97" s="695">
        <f>D97-E97</f>
        <v>0</v>
      </c>
      <c r="H97" s="289">
        <f t="shared" si="57"/>
        <v>0</v>
      </c>
      <c r="I97" s="289">
        <f>IF(G97&lt;0,1,0)</f>
        <v>0</v>
      </c>
    </row>
    <row r="98" spans="1:10" ht="255" hidden="1" x14ac:dyDescent="0.2">
      <c r="A98" s="1014"/>
      <c r="B98" s="478" t="s">
        <v>260</v>
      </c>
      <c r="C98" s="144" t="s">
        <v>259</v>
      </c>
      <c r="D98" s="284"/>
      <c r="E98" s="201"/>
      <c r="F98" s="201"/>
      <c r="G98" s="285">
        <f t="shared" si="56"/>
        <v>0</v>
      </c>
      <c r="H98" s="289">
        <f t="shared" si="57"/>
        <v>0</v>
      </c>
      <c r="I98" s="289">
        <f t="shared" si="58"/>
        <v>0</v>
      </c>
    </row>
    <row r="99" spans="1:10" hidden="1" x14ac:dyDescent="0.2">
      <c r="A99" s="385"/>
      <c r="B99" s="386" t="s">
        <v>146</v>
      </c>
      <c r="C99" s="387"/>
      <c r="D99" s="456">
        <f>D98</f>
        <v>0</v>
      </c>
      <c r="E99" s="456"/>
      <c r="F99" s="456"/>
      <c r="G99" s="456">
        <f>G98</f>
        <v>0</v>
      </c>
      <c r="H99" s="289">
        <f t="shared" si="57"/>
        <v>0</v>
      </c>
      <c r="I99" s="289">
        <f t="shared" si="58"/>
        <v>0</v>
      </c>
    </row>
    <row r="100" spans="1:10" hidden="1" x14ac:dyDescent="0.2">
      <c r="A100" s="385"/>
      <c r="B100" s="386" t="s">
        <v>147</v>
      </c>
      <c r="C100" s="387"/>
      <c r="D100" s="389"/>
      <c r="E100" s="389"/>
      <c r="F100" s="389"/>
      <c r="G100" s="389">
        <f t="shared" si="56"/>
        <v>0</v>
      </c>
      <c r="H100" s="289">
        <f t="shared" si="57"/>
        <v>0</v>
      </c>
      <c r="I100" s="289">
        <f t="shared" si="58"/>
        <v>0</v>
      </c>
    </row>
    <row r="101" spans="1:10" ht="318.75" hidden="1" x14ac:dyDescent="0.2">
      <c r="A101" s="1014"/>
      <c r="B101" s="478" t="s">
        <v>456</v>
      </c>
      <c r="C101" s="144" t="s">
        <v>455</v>
      </c>
      <c r="D101" s="284"/>
      <c r="E101" s="201"/>
      <c r="F101" s="201"/>
      <c r="G101" s="285">
        <f t="shared" ref="G101:G106" si="59">D101-E101</f>
        <v>0</v>
      </c>
      <c r="H101" s="289">
        <f t="shared" ref="H101:H106" si="60">IF(F101&gt;E101,1,0)</f>
        <v>0</v>
      </c>
      <c r="I101" s="289">
        <f t="shared" ref="I101:I106" si="61">IF(G101&lt;0,1,0)</f>
        <v>0</v>
      </c>
      <c r="J101" s="1523">
        <f>D101+D104</f>
        <v>0</v>
      </c>
    </row>
    <row r="102" spans="1:10" hidden="1" x14ac:dyDescent="0.2">
      <c r="A102" s="385"/>
      <c r="B102" s="386" t="s">
        <v>146</v>
      </c>
      <c r="C102" s="387"/>
      <c r="D102" s="388">
        <v>0</v>
      </c>
      <c r="E102" s="388"/>
      <c r="F102" s="388"/>
      <c r="G102" s="389">
        <f t="shared" si="59"/>
        <v>0</v>
      </c>
      <c r="H102" s="289">
        <f t="shared" si="60"/>
        <v>0</v>
      </c>
      <c r="I102" s="289">
        <f t="shared" si="61"/>
        <v>0</v>
      </c>
    </row>
    <row r="103" spans="1:10" hidden="1" x14ac:dyDescent="0.2">
      <c r="A103" s="385"/>
      <c r="B103" s="386" t="s">
        <v>147</v>
      </c>
      <c r="C103" s="387"/>
      <c r="D103" s="389">
        <f>D101-D102</f>
        <v>0</v>
      </c>
      <c r="E103" s="389"/>
      <c r="F103" s="389"/>
      <c r="G103" s="389">
        <f t="shared" si="59"/>
        <v>0</v>
      </c>
      <c r="H103" s="289">
        <f t="shared" si="60"/>
        <v>0</v>
      </c>
      <c r="I103" s="289">
        <f t="shared" si="61"/>
        <v>0</v>
      </c>
    </row>
    <row r="104" spans="1:10" hidden="1" x14ac:dyDescent="0.2">
      <c r="A104" s="692"/>
      <c r="B104" s="693" t="s">
        <v>58</v>
      </c>
      <c r="C104" s="681" t="s">
        <v>455</v>
      </c>
      <c r="D104" s="694"/>
      <c r="E104" s="691"/>
      <c r="F104" s="691"/>
      <c r="G104" s="695">
        <f t="shared" si="59"/>
        <v>0</v>
      </c>
      <c r="H104" s="289">
        <f t="shared" si="60"/>
        <v>0</v>
      </c>
      <c r="I104" s="289">
        <f t="shared" si="61"/>
        <v>0</v>
      </c>
    </row>
    <row r="105" spans="1:10" hidden="1" x14ac:dyDescent="0.2">
      <c r="A105" s="692"/>
      <c r="B105" s="696" t="s">
        <v>146</v>
      </c>
      <c r="C105" s="697"/>
      <c r="D105" s="698">
        <v>0</v>
      </c>
      <c r="E105" s="698"/>
      <c r="F105" s="698"/>
      <c r="G105" s="695">
        <f t="shared" si="59"/>
        <v>0</v>
      </c>
      <c r="H105" s="289">
        <f t="shared" si="60"/>
        <v>0</v>
      </c>
      <c r="I105" s="289">
        <f t="shared" si="61"/>
        <v>0</v>
      </c>
    </row>
    <row r="106" spans="1:10" hidden="1" x14ac:dyDescent="0.2">
      <c r="A106" s="692"/>
      <c r="B106" s="696" t="s">
        <v>147</v>
      </c>
      <c r="C106" s="697"/>
      <c r="D106" s="695">
        <f>D104-D105</f>
        <v>0</v>
      </c>
      <c r="E106" s="695"/>
      <c r="F106" s="695"/>
      <c r="G106" s="695">
        <f t="shared" si="59"/>
        <v>0</v>
      </c>
      <c r="H106" s="289">
        <f t="shared" si="60"/>
        <v>0</v>
      </c>
      <c r="I106" s="289">
        <f t="shared" si="61"/>
        <v>0</v>
      </c>
    </row>
    <row r="107" spans="1:10" ht="204" hidden="1" x14ac:dyDescent="0.2">
      <c r="A107" s="1139"/>
      <c r="B107" s="477" t="s">
        <v>392</v>
      </c>
      <c r="C107" s="144" t="s">
        <v>201</v>
      </c>
      <c r="D107" s="284"/>
      <c r="E107" s="189"/>
      <c r="F107" s="189"/>
      <c r="G107" s="285">
        <f t="shared" ref="G107:G112" si="62">D107-E107</f>
        <v>0</v>
      </c>
      <c r="H107" s="289">
        <f t="shared" ref="H107:H127" si="63">IF(F107&gt;E107,1,0)</f>
        <v>0</v>
      </c>
      <c r="I107" s="289">
        <f t="shared" si="34"/>
        <v>0</v>
      </c>
    </row>
    <row r="108" spans="1:10" hidden="1" x14ac:dyDescent="0.2">
      <c r="A108" s="385"/>
      <c r="B108" s="386" t="s">
        <v>146</v>
      </c>
      <c r="C108" s="387"/>
      <c r="D108" s="389">
        <f>D107</f>
        <v>0</v>
      </c>
      <c r="E108" s="389"/>
      <c r="F108" s="389"/>
      <c r="G108" s="389">
        <f t="shared" si="62"/>
        <v>0</v>
      </c>
      <c r="H108" s="289">
        <f t="shared" si="63"/>
        <v>0</v>
      </c>
      <c r="I108" s="289">
        <f t="shared" si="34"/>
        <v>0</v>
      </c>
    </row>
    <row r="109" spans="1:10" hidden="1" x14ac:dyDescent="0.2">
      <c r="A109" s="385"/>
      <c r="B109" s="386" t="s">
        <v>147</v>
      </c>
      <c r="C109" s="387"/>
      <c r="D109" s="389"/>
      <c r="E109" s="389"/>
      <c r="F109" s="389"/>
      <c r="G109" s="389">
        <f t="shared" si="62"/>
        <v>0</v>
      </c>
      <c r="H109" s="289">
        <f t="shared" si="63"/>
        <v>0</v>
      </c>
      <c r="I109" s="289">
        <f t="shared" si="34"/>
        <v>0</v>
      </c>
    </row>
    <row r="110" spans="1:10" ht="165.75" x14ac:dyDescent="0.2">
      <c r="A110" s="195"/>
      <c r="B110" s="477" t="s">
        <v>391</v>
      </c>
      <c r="C110" s="144" t="s">
        <v>202</v>
      </c>
      <c r="D110" s="284">
        <f>16000000+1152800</f>
        <v>17152800</v>
      </c>
      <c r="E110" s="189">
        <f>'Прочая  субсидия_МР  и  ГО'!AD38</f>
        <v>16000000</v>
      </c>
      <c r="F110" s="189">
        <f>'Прочая  субсидия_МР  и  ГО'!AE38</f>
        <v>7169462.2400000002</v>
      </c>
      <c r="G110" s="285">
        <f t="shared" si="62"/>
        <v>1152800</v>
      </c>
      <c r="H110" s="289">
        <f t="shared" si="63"/>
        <v>0</v>
      </c>
      <c r="I110" s="289">
        <f t="shared" si="34"/>
        <v>0</v>
      </c>
    </row>
    <row r="111" spans="1:10" x14ac:dyDescent="0.2">
      <c r="A111" s="385"/>
      <c r="B111" s="386" t="s">
        <v>146</v>
      </c>
      <c r="C111" s="387"/>
      <c r="D111" s="389">
        <f>D110</f>
        <v>17152800</v>
      </c>
      <c r="E111" s="389">
        <f>E110</f>
        <v>16000000</v>
      </c>
      <c r="F111" s="389">
        <f>F110</f>
        <v>7169462.2400000002</v>
      </c>
      <c r="G111" s="389">
        <f t="shared" si="62"/>
        <v>1152800</v>
      </c>
      <c r="H111" s="289">
        <f t="shared" si="63"/>
        <v>0</v>
      </c>
      <c r="I111" s="289">
        <f t="shared" si="34"/>
        <v>0</v>
      </c>
    </row>
    <row r="112" spans="1:10" x14ac:dyDescent="0.2">
      <c r="A112" s="385"/>
      <c r="B112" s="386" t="s">
        <v>147</v>
      </c>
      <c r="C112" s="387"/>
      <c r="D112" s="389"/>
      <c r="E112" s="389"/>
      <c r="F112" s="389"/>
      <c r="G112" s="389">
        <f t="shared" si="62"/>
        <v>0</v>
      </c>
      <c r="H112" s="289">
        <f t="shared" si="63"/>
        <v>0</v>
      </c>
      <c r="I112" s="289">
        <f t="shared" si="34"/>
        <v>0</v>
      </c>
    </row>
    <row r="113" spans="1:10" x14ac:dyDescent="0.2">
      <c r="A113" s="195"/>
      <c r="B113" s="479"/>
      <c r="C113" s="191"/>
      <c r="D113" s="286"/>
      <c r="E113" s="189"/>
      <c r="F113" s="189"/>
      <c r="G113" s="285"/>
      <c r="H113" s="289">
        <f t="shared" si="63"/>
        <v>0</v>
      </c>
      <c r="I113" s="289">
        <f t="shared" si="34"/>
        <v>0</v>
      </c>
    </row>
    <row r="114" spans="1:10" x14ac:dyDescent="0.2">
      <c r="A114" s="187" t="s">
        <v>129</v>
      </c>
      <c r="B114" s="251" t="s">
        <v>61</v>
      </c>
      <c r="C114" s="193"/>
      <c r="D114" s="287">
        <f>D122+D125+D128+D131+D118</f>
        <v>927109057.73999989</v>
      </c>
      <c r="E114" s="287">
        <f t="shared" ref="E114:G114" si="64">E122+E125+E128+E131+E118</f>
        <v>927109057.73999989</v>
      </c>
      <c r="F114" s="287">
        <f t="shared" si="64"/>
        <v>732863298.25999987</v>
      </c>
      <c r="G114" s="287">
        <f t="shared" si="64"/>
        <v>0</v>
      </c>
      <c r="H114" s="289">
        <f t="shared" si="63"/>
        <v>0</v>
      </c>
      <c r="I114" s="289">
        <f t="shared" si="34"/>
        <v>0</v>
      </c>
    </row>
    <row r="115" spans="1:10" x14ac:dyDescent="0.2">
      <c r="A115" s="378"/>
      <c r="B115" s="379" t="s">
        <v>146</v>
      </c>
      <c r="C115" s="380"/>
      <c r="D115" s="505">
        <f>D123+D126+D129+D132</f>
        <v>0</v>
      </c>
      <c r="E115" s="505">
        <f t="shared" ref="E115:G115" si="65">E123+E126+E129+E132</f>
        <v>0</v>
      </c>
      <c r="F115" s="505">
        <f t="shared" si="65"/>
        <v>0</v>
      </c>
      <c r="G115" s="505">
        <f t="shared" si="65"/>
        <v>0</v>
      </c>
      <c r="H115" s="289">
        <f t="shared" si="63"/>
        <v>0</v>
      </c>
      <c r="I115" s="289">
        <f t="shared" si="34"/>
        <v>0</v>
      </c>
    </row>
    <row r="116" spans="1:10" x14ac:dyDescent="0.2">
      <c r="A116" s="378"/>
      <c r="B116" s="379" t="s">
        <v>147</v>
      </c>
      <c r="C116" s="380"/>
      <c r="D116" s="505">
        <f>D114-D115</f>
        <v>927109057.73999989</v>
      </c>
      <c r="E116" s="505">
        <f t="shared" ref="E116:G116" si="66">E114-E115</f>
        <v>927109057.73999989</v>
      </c>
      <c r="F116" s="505">
        <f t="shared" si="66"/>
        <v>732863298.25999987</v>
      </c>
      <c r="G116" s="505">
        <f t="shared" si="66"/>
        <v>0</v>
      </c>
      <c r="H116" s="289">
        <f t="shared" si="63"/>
        <v>0</v>
      </c>
      <c r="I116" s="289">
        <f t="shared" si="34"/>
        <v>0</v>
      </c>
    </row>
    <row r="117" spans="1:10" x14ac:dyDescent="0.2">
      <c r="A117" s="195"/>
      <c r="B117" s="476" t="s">
        <v>38</v>
      </c>
      <c r="C117" s="191"/>
      <c r="D117" s="286"/>
      <c r="E117" s="189"/>
      <c r="F117" s="189"/>
      <c r="G117" s="285"/>
      <c r="H117" s="289">
        <f t="shared" si="63"/>
        <v>0</v>
      </c>
      <c r="I117" s="289">
        <f t="shared" si="34"/>
        <v>0</v>
      </c>
    </row>
    <row r="118" spans="1:10" ht="229.5" hidden="1" x14ac:dyDescent="0.2">
      <c r="A118" s="1139"/>
      <c r="B118" s="655" t="s">
        <v>805</v>
      </c>
      <c r="C118" s="144" t="s">
        <v>806</v>
      </c>
      <c r="D118" s="656"/>
      <c r="E118" s="201"/>
      <c r="F118" s="201"/>
      <c r="G118" s="285">
        <f t="shared" ref="G118:G121" si="67">D118-E118</f>
        <v>0</v>
      </c>
      <c r="H118" s="289">
        <f t="shared" si="63"/>
        <v>0</v>
      </c>
      <c r="I118" s="289">
        <f>IF(G118&lt;0,1,0)</f>
        <v>0</v>
      </c>
    </row>
    <row r="119" spans="1:10" hidden="1" x14ac:dyDescent="0.2">
      <c r="A119" s="385"/>
      <c r="B119" s="386" t="s">
        <v>146</v>
      </c>
      <c r="C119" s="628"/>
      <c r="D119" s="389"/>
      <c r="E119" s="389"/>
      <c r="F119" s="389"/>
      <c r="G119" s="389">
        <f t="shared" si="67"/>
        <v>0</v>
      </c>
      <c r="H119" s="289">
        <f t="shared" si="63"/>
        <v>0</v>
      </c>
      <c r="I119" s="289">
        <f>IF(G119&lt;0,1,0)</f>
        <v>0</v>
      </c>
    </row>
    <row r="120" spans="1:10" hidden="1" x14ac:dyDescent="0.2">
      <c r="A120" s="385"/>
      <c r="B120" s="386" t="s">
        <v>147</v>
      </c>
      <c r="C120" s="387"/>
      <c r="D120" s="389"/>
      <c r="E120" s="389"/>
      <c r="F120" s="389"/>
      <c r="G120" s="389">
        <f t="shared" si="67"/>
        <v>0</v>
      </c>
      <c r="H120" s="289">
        <f t="shared" si="63"/>
        <v>0</v>
      </c>
      <c r="I120" s="289">
        <f>IF(G120&lt;0,1,0)</f>
        <v>0</v>
      </c>
    </row>
    <row r="121" spans="1:10" hidden="1" x14ac:dyDescent="0.2">
      <c r="A121" s="385"/>
      <c r="B121" s="386" t="s">
        <v>313</v>
      </c>
      <c r="C121" s="387"/>
      <c r="D121" s="389">
        <f>D118</f>
        <v>0</v>
      </c>
      <c r="E121" s="389">
        <f t="shared" ref="E121:F121" si="68">E118</f>
        <v>0</v>
      </c>
      <c r="F121" s="389">
        <f t="shared" si="68"/>
        <v>0</v>
      </c>
      <c r="G121" s="389">
        <f t="shared" si="67"/>
        <v>0</v>
      </c>
      <c r="H121" s="289">
        <f t="shared" si="63"/>
        <v>0</v>
      </c>
      <c r="I121" s="289">
        <f>IF(G121&lt;0,1,0)</f>
        <v>0</v>
      </c>
    </row>
    <row r="122" spans="1:10" ht="255" x14ac:dyDescent="0.2">
      <c r="A122" s="1012"/>
      <c r="B122" s="475" t="s">
        <v>493</v>
      </c>
      <c r="C122" s="144" t="s">
        <v>682</v>
      </c>
      <c r="D122" s="203">
        <f>282716466.73+515546809.79</f>
        <v>798263276.51999998</v>
      </c>
      <c r="E122" s="189">
        <f>'Проверочная  таблица'!CS38</f>
        <v>798263276.51999998</v>
      </c>
      <c r="F122" s="201">
        <f>'Проверочная  таблица'!CT38</f>
        <v>641786815.81999993</v>
      </c>
      <c r="G122" s="285">
        <f t="shared" ref="G122:G127" si="69">D122-E122</f>
        <v>0</v>
      </c>
      <c r="H122" s="289">
        <f t="shared" si="63"/>
        <v>0</v>
      </c>
      <c r="I122" s="289">
        <f t="shared" si="34"/>
        <v>0</v>
      </c>
    </row>
    <row r="123" spans="1:10" x14ac:dyDescent="0.2">
      <c r="A123" s="385"/>
      <c r="B123" s="386" t="s">
        <v>146</v>
      </c>
      <c r="C123" s="387"/>
      <c r="D123" s="388">
        <v>0</v>
      </c>
      <c r="E123" s="388">
        <v>0</v>
      </c>
      <c r="F123" s="388">
        <v>0</v>
      </c>
      <c r="G123" s="389">
        <f t="shared" si="69"/>
        <v>0</v>
      </c>
      <c r="H123" s="289">
        <f t="shared" si="63"/>
        <v>0</v>
      </c>
      <c r="I123" s="289">
        <f t="shared" si="34"/>
        <v>0</v>
      </c>
    </row>
    <row r="124" spans="1:10" x14ac:dyDescent="0.2">
      <c r="A124" s="385"/>
      <c r="B124" s="386" t="s">
        <v>147</v>
      </c>
      <c r="C124" s="387"/>
      <c r="D124" s="389">
        <f>D122-D123</f>
        <v>798263276.51999998</v>
      </c>
      <c r="E124" s="389">
        <f>E122-E123</f>
        <v>798263276.51999998</v>
      </c>
      <c r="F124" s="389">
        <f>F122-F123</f>
        <v>641786815.81999993</v>
      </c>
      <c r="G124" s="389">
        <f t="shared" si="69"/>
        <v>0</v>
      </c>
      <c r="H124" s="289">
        <f t="shared" si="63"/>
        <v>0</v>
      </c>
      <c r="I124" s="289">
        <f t="shared" si="34"/>
        <v>0</v>
      </c>
    </row>
    <row r="125" spans="1:10" ht="229.5" x14ac:dyDescent="0.2">
      <c r="A125" s="265"/>
      <c r="B125" s="482" t="s">
        <v>659</v>
      </c>
      <c r="C125" s="144" t="s">
        <v>658</v>
      </c>
      <c r="D125" s="203">
        <f>40806741.82+57802618.35</f>
        <v>98609360.170000002</v>
      </c>
      <c r="E125" s="189">
        <f>'Проверочная  таблица'!DA38</f>
        <v>98609360.170000002</v>
      </c>
      <c r="F125" s="201">
        <f>'Проверочная  таблица'!DB38</f>
        <v>79198760.790000007</v>
      </c>
      <c r="G125" s="285">
        <f t="shared" si="69"/>
        <v>0</v>
      </c>
      <c r="H125" s="289">
        <f t="shared" si="63"/>
        <v>0</v>
      </c>
      <c r="I125" s="289">
        <f t="shared" si="34"/>
        <v>0</v>
      </c>
    </row>
    <row r="126" spans="1:10" x14ac:dyDescent="0.2">
      <c r="A126" s="385"/>
      <c r="B126" s="386" t="s">
        <v>146</v>
      </c>
      <c r="C126" s="387"/>
      <c r="D126" s="388"/>
      <c r="E126" s="388"/>
      <c r="F126" s="388"/>
      <c r="G126" s="389">
        <f t="shared" si="69"/>
        <v>0</v>
      </c>
      <c r="H126" s="289">
        <f t="shared" si="63"/>
        <v>0</v>
      </c>
      <c r="I126" s="289">
        <f t="shared" si="34"/>
        <v>0</v>
      </c>
    </row>
    <row r="127" spans="1:10" x14ac:dyDescent="0.2">
      <c r="A127" s="385"/>
      <c r="B127" s="386" t="s">
        <v>147</v>
      </c>
      <c r="C127" s="387"/>
      <c r="D127" s="389">
        <f>D125-D126</f>
        <v>98609360.170000002</v>
      </c>
      <c r="E127" s="389">
        <f>E125-E126</f>
        <v>98609360.170000002</v>
      </c>
      <c r="F127" s="389">
        <f>F125-F126</f>
        <v>79198760.790000007</v>
      </c>
      <c r="G127" s="389">
        <f t="shared" si="69"/>
        <v>0</v>
      </c>
      <c r="H127" s="289">
        <f t="shared" si="63"/>
        <v>0</v>
      </c>
      <c r="I127" s="289">
        <f t="shared" si="34"/>
        <v>0</v>
      </c>
    </row>
    <row r="128" spans="1:10" ht="204" x14ac:dyDescent="0.2">
      <c r="A128" s="249"/>
      <c r="B128" s="477" t="s">
        <v>784</v>
      </c>
      <c r="C128" s="144" t="s">
        <v>580</v>
      </c>
      <c r="D128" s="284">
        <f>9710621.05-8198800</f>
        <v>1511821.0500000007</v>
      </c>
      <c r="E128" s="201">
        <f>'Проверочная  таблица'!OF37</f>
        <v>1511821.0500000007</v>
      </c>
      <c r="F128" s="201">
        <f>'Проверочная  таблица'!OM37</f>
        <v>593886.04000000097</v>
      </c>
      <c r="G128" s="285">
        <f>D128-E128</f>
        <v>0</v>
      </c>
      <c r="H128" s="289">
        <f t="shared" ref="H128:H133" si="70">IF(F128&gt;E128,1,0)</f>
        <v>0</v>
      </c>
      <c r="I128" s="289">
        <f t="shared" ref="I128:I133" si="71">IF(G128&lt;0,1,0)</f>
        <v>0</v>
      </c>
      <c r="J128" s="1523">
        <f>D128+D131</f>
        <v>30236421.050000001</v>
      </c>
    </row>
    <row r="129" spans="1:10" x14ac:dyDescent="0.2">
      <c r="A129" s="385"/>
      <c r="B129" s="386" t="s">
        <v>146</v>
      </c>
      <c r="C129" s="387"/>
      <c r="D129" s="389"/>
      <c r="E129" s="389"/>
      <c r="F129" s="389"/>
      <c r="G129" s="389">
        <f>D129-E129</f>
        <v>0</v>
      </c>
      <c r="H129" s="289">
        <f t="shared" si="70"/>
        <v>0</v>
      </c>
      <c r="I129" s="289">
        <f t="shared" si="71"/>
        <v>0</v>
      </c>
      <c r="J129" s="1310">
        <f>D130+D133-'субсидия  ВР 522'!C18</f>
        <v>0</v>
      </c>
    </row>
    <row r="130" spans="1:10" x14ac:dyDescent="0.2">
      <c r="A130" s="385"/>
      <c r="B130" s="386" t="s">
        <v>147</v>
      </c>
      <c r="C130" s="387"/>
      <c r="D130" s="389">
        <f>D128</f>
        <v>1511821.0500000007</v>
      </c>
      <c r="E130" s="389">
        <f t="shared" ref="E130:F130" si="72">E128</f>
        <v>1511821.0500000007</v>
      </c>
      <c r="F130" s="389">
        <f t="shared" si="72"/>
        <v>593886.04000000097</v>
      </c>
      <c r="G130" s="389">
        <f>D130-E130</f>
        <v>0</v>
      </c>
      <c r="H130" s="289">
        <f t="shared" si="70"/>
        <v>0</v>
      </c>
      <c r="I130" s="289">
        <f t="shared" si="71"/>
        <v>0</v>
      </c>
    </row>
    <row r="131" spans="1:10" x14ac:dyDescent="0.2">
      <c r="A131" s="692"/>
      <c r="B131" s="693" t="s">
        <v>58</v>
      </c>
      <c r="C131" s="681" t="s">
        <v>580</v>
      </c>
      <c r="D131" s="694">
        <v>28724600</v>
      </c>
      <c r="E131" s="691">
        <f>'Проверочная  таблица'!OG37</f>
        <v>28724600</v>
      </c>
      <c r="F131" s="691">
        <f>'Проверочная  таблица'!ON37</f>
        <v>11283835.609999999</v>
      </c>
      <c r="G131" s="695">
        <f>D131-E131</f>
        <v>0</v>
      </c>
      <c r="H131" s="289">
        <f t="shared" si="70"/>
        <v>0</v>
      </c>
      <c r="I131" s="289">
        <f t="shared" si="71"/>
        <v>0</v>
      </c>
    </row>
    <row r="132" spans="1:10" x14ac:dyDescent="0.2">
      <c r="A132" s="692"/>
      <c r="B132" s="696" t="s">
        <v>146</v>
      </c>
      <c r="C132" s="697"/>
      <c r="D132" s="695"/>
      <c r="E132" s="695"/>
      <c r="F132" s="695"/>
      <c r="G132" s="695">
        <f>D132-E132</f>
        <v>0</v>
      </c>
      <c r="H132" s="289">
        <f t="shared" si="70"/>
        <v>0</v>
      </c>
      <c r="I132" s="289">
        <f t="shared" si="71"/>
        <v>0</v>
      </c>
    </row>
    <row r="133" spans="1:10" x14ac:dyDescent="0.2">
      <c r="A133" s="692"/>
      <c r="B133" s="696" t="s">
        <v>147</v>
      </c>
      <c r="C133" s="697"/>
      <c r="D133" s="695">
        <f>D131</f>
        <v>28724600</v>
      </c>
      <c r="E133" s="695">
        <f t="shared" ref="E133:G133" si="73">E131</f>
        <v>28724600</v>
      </c>
      <c r="F133" s="695">
        <f t="shared" si="73"/>
        <v>11283835.609999999</v>
      </c>
      <c r="G133" s="695">
        <f t="shared" si="73"/>
        <v>0</v>
      </c>
      <c r="H133" s="289">
        <f t="shared" si="70"/>
        <v>0</v>
      </c>
      <c r="I133" s="289">
        <f t="shared" si="71"/>
        <v>0</v>
      </c>
    </row>
    <row r="134" spans="1:10" s="801" customFormat="1" x14ac:dyDescent="0.2">
      <c r="A134" s="249"/>
      <c r="B134" s="370"/>
      <c r="C134" s="269"/>
      <c r="D134" s="483"/>
      <c r="E134" s="483"/>
      <c r="F134" s="483"/>
      <c r="G134" s="483"/>
      <c r="H134" s="484"/>
      <c r="I134" s="289">
        <f t="shared" si="34"/>
        <v>0</v>
      </c>
      <c r="J134" s="1524"/>
    </row>
    <row r="135" spans="1:10" x14ac:dyDescent="0.2">
      <c r="A135" s="187" t="s">
        <v>236</v>
      </c>
      <c r="B135" s="251" t="s">
        <v>237</v>
      </c>
      <c r="C135" s="193"/>
      <c r="D135" s="287">
        <f>D153+D156+D150+D140+D146+D143</f>
        <v>19000000</v>
      </c>
      <c r="E135" s="287">
        <f t="shared" ref="E135:G135" si="74">E153+E156+E150+E140+E146+E143</f>
        <v>14000000</v>
      </c>
      <c r="F135" s="287">
        <f t="shared" si="74"/>
        <v>0</v>
      </c>
      <c r="G135" s="287">
        <f t="shared" si="74"/>
        <v>5000000</v>
      </c>
      <c r="H135" s="289">
        <f t="shared" ref="H135:H142" si="75">IF(F135&gt;E135,1,0)</f>
        <v>0</v>
      </c>
      <c r="I135" s="289">
        <f t="shared" si="34"/>
        <v>0</v>
      </c>
    </row>
    <row r="136" spans="1:10" x14ac:dyDescent="0.2">
      <c r="A136" s="378"/>
      <c r="B136" s="379" t="s">
        <v>146</v>
      </c>
      <c r="C136" s="380"/>
      <c r="D136" s="505">
        <f>D144+D147</f>
        <v>0</v>
      </c>
      <c r="E136" s="505">
        <f t="shared" ref="E136:G136" si="76">E144+E147</f>
        <v>0</v>
      </c>
      <c r="F136" s="505">
        <f t="shared" si="76"/>
        <v>0</v>
      </c>
      <c r="G136" s="505">
        <f t="shared" si="76"/>
        <v>0</v>
      </c>
      <c r="H136" s="289">
        <f t="shared" si="75"/>
        <v>0</v>
      </c>
      <c r="I136" s="289">
        <f t="shared" si="34"/>
        <v>0</v>
      </c>
    </row>
    <row r="137" spans="1:10" x14ac:dyDescent="0.2">
      <c r="A137" s="378"/>
      <c r="B137" s="379" t="s">
        <v>147</v>
      </c>
      <c r="C137" s="380"/>
      <c r="D137" s="505">
        <f>D135-D138</f>
        <v>14000000</v>
      </c>
      <c r="E137" s="505">
        <f t="shared" ref="E137:G137" si="77">E135-E138</f>
        <v>14000000</v>
      </c>
      <c r="F137" s="505">
        <f t="shared" si="77"/>
        <v>0</v>
      </c>
      <c r="G137" s="505">
        <f t="shared" si="77"/>
        <v>0</v>
      </c>
      <c r="H137" s="289">
        <f t="shared" si="75"/>
        <v>0</v>
      </c>
      <c r="I137" s="289">
        <f t="shared" si="34"/>
        <v>0</v>
      </c>
    </row>
    <row r="138" spans="1:10" x14ac:dyDescent="0.2">
      <c r="A138" s="378"/>
      <c r="B138" s="1140" t="s">
        <v>313</v>
      </c>
      <c r="C138" s="380"/>
      <c r="D138" s="505">
        <f>D149</f>
        <v>5000000</v>
      </c>
      <c r="E138" s="505">
        <f t="shared" ref="E138:G138" si="78">E149</f>
        <v>0</v>
      </c>
      <c r="F138" s="505">
        <f t="shared" si="78"/>
        <v>0</v>
      </c>
      <c r="G138" s="505">
        <f t="shared" si="78"/>
        <v>5000000</v>
      </c>
      <c r="H138" s="289">
        <f t="shared" ref="H138" si="79">IF(F138&gt;E138,1,0)</f>
        <v>0</v>
      </c>
      <c r="I138" s="289">
        <f t="shared" ref="I138" si="80">IF(G138&lt;0,1,0)</f>
        <v>0</v>
      </c>
    </row>
    <row r="139" spans="1:10" x14ac:dyDescent="0.2">
      <c r="A139" s="195"/>
      <c r="B139" s="476" t="s">
        <v>38</v>
      </c>
      <c r="C139" s="191"/>
      <c r="D139" s="286"/>
      <c r="E139" s="189"/>
      <c r="F139" s="189"/>
      <c r="G139" s="285"/>
      <c r="H139" s="289">
        <f t="shared" si="75"/>
        <v>0</v>
      </c>
      <c r="I139" s="289">
        <f t="shared" ref="I139:I287" si="81">IF(G139&lt;0,1,0)</f>
        <v>0</v>
      </c>
    </row>
    <row r="140" spans="1:10" ht="153" hidden="1" x14ac:dyDescent="0.2">
      <c r="A140" s="1139"/>
      <c r="B140" s="477" t="s">
        <v>311</v>
      </c>
      <c r="C140" s="144" t="s">
        <v>309</v>
      </c>
      <c r="D140" s="284"/>
      <c r="E140" s="201">
        <f>'Проверочная  таблица'!AN37</f>
        <v>0</v>
      </c>
      <c r="F140" s="201">
        <f>'Проверочная  таблица'!AT37</f>
        <v>0</v>
      </c>
      <c r="G140" s="285">
        <f t="shared" ref="G140:G142" si="82">D140-E140</f>
        <v>0</v>
      </c>
      <c r="H140" s="289">
        <f t="shared" si="75"/>
        <v>0</v>
      </c>
      <c r="I140" s="289">
        <f t="shared" ref="I140:I142" si="83">IF(G140&lt;0,1,0)</f>
        <v>0</v>
      </c>
      <c r="J140" s="1523">
        <f>D140+D153</f>
        <v>0</v>
      </c>
    </row>
    <row r="141" spans="1:10" hidden="1" x14ac:dyDescent="0.2">
      <c r="A141" s="385"/>
      <c r="B141" s="386" t="s">
        <v>146</v>
      </c>
      <c r="C141" s="387"/>
      <c r="D141" s="389"/>
      <c r="E141" s="389"/>
      <c r="F141" s="389"/>
      <c r="G141" s="389">
        <f t="shared" si="82"/>
        <v>0</v>
      </c>
      <c r="H141" s="289">
        <f t="shared" si="75"/>
        <v>0</v>
      </c>
      <c r="I141" s="289">
        <f t="shared" si="83"/>
        <v>0</v>
      </c>
    </row>
    <row r="142" spans="1:10" hidden="1" x14ac:dyDescent="0.2">
      <c r="A142" s="385"/>
      <c r="B142" s="386" t="s">
        <v>147</v>
      </c>
      <c r="C142" s="387"/>
      <c r="D142" s="389">
        <f>D140-D141</f>
        <v>0</v>
      </c>
      <c r="E142" s="389">
        <f>E140-E141</f>
        <v>0</v>
      </c>
      <c r="F142" s="389">
        <f>F140-F141</f>
        <v>0</v>
      </c>
      <c r="G142" s="389">
        <f t="shared" si="82"/>
        <v>0</v>
      </c>
      <c r="H142" s="289">
        <f t="shared" si="75"/>
        <v>0</v>
      </c>
      <c r="I142" s="289">
        <f t="shared" si="83"/>
        <v>0</v>
      </c>
    </row>
    <row r="143" spans="1:10" ht="143.1" customHeight="1" x14ac:dyDescent="0.2">
      <c r="A143" s="1012"/>
      <c r="B143" s="478" t="s">
        <v>308</v>
      </c>
      <c r="C143" s="144" t="s">
        <v>307</v>
      </c>
      <c r="D143" s="284">
        <v>14000000</v>
      </c>
      <c r="E143" s="201">
        <f>'Прочая  субсидия_МР  и  ГО'!AB38</f>
        <v>14000000</v>
      </c>
      <c r="F143" s="201">
        <f>'Прочая  субсидия_МР  и  ГО'!AC38</f>
        <v>0</v>
      </c>
      <c r="G143" s="285">
        <f t="shared" ref="G143" si="84">D143-E143</f>
        <v>0</v>
      </c>
      <c r="H143" s="289">
        <f t="shared" ref="H143:H145" si="85">IF(F143&gt;E143,1,0)</f>
        <v>0</v>
      </c>
      <c r="I143" s="289">
        <f t="shared" ref="I143:I145" si="86">IF(G143&lt;0,1,0)</f>
        <v>0</v>
      </c>
    </row>
    <row r="144" spans="1:10" ht="14.1" customHeight="1" x14ac:dyDescent="0.2">
      <c r="A144" s="385"/>
      <c r="B144" s="386" t="s">
        <v>146</v>
      </c>
      <c r="C144" s="387"/>
      <c r="D144" s="456"/>
      <c r="E144" s="456"/>
      <c r="F144" s="456"/>
      <c r="G144" s="389">
        <f>D144-E144</f>
        <v>0</v>
      </c>
      <c r="H144" s="289">
        <f t="shared" si="85"/>
        <v>0</v>
      </c>
      <c r="I144" s="289">
        <f t="shared" si="86"/>
        <v>0</v>
      </c>
    </row>
    <row r="145" spans="1:10" ht="14.1" customHeight="1" x14ac:dyDescent="0.2">
      <c r="A145" s="385"/>
      <c r="B145" s="386" t="s">
        <v>147</v>
      </c>
      <c r="C145" s="387"/>
      <c r="D145" s="389">
        <f>D143</f>
        <v>14000000</v>
      </c>
      <c r="E145" s="389">
        <f t="shared" ref="E145:F145" si="87">E143</f>
        <v>14000000</v>
      </c>
      <c r="F145" s="389">
        <f t="shared" si="87"/>
        <v>0</v>
      </c>
      <c r="G145" s="389">
        <f>D145-E145</f>
        <v>0</v>
      </c>
      <c r="H145" s="289">
        <f t="shared" si="85"/>
        <v>0</v>
      </c>
      <c r="I145" s="289">
        <f t="shared" si="86"/>
        <v>0</v>
      </c>
    </row>
    <row r="146" spans="1:10" ht="178.5" x14ac:dyDescent="0.2">
      <c r="A146" s="249"/>
      <c r="B146" s="655" t="s">
        <v>578</v>
      </c>
      <c r="C146" s="144" t="s">
        <v>310</v>
      </c>
      <c r="D146" s="656">
        <v>5000000</v>
      </c>
      <c r="E146" s="201">
        <f>'Прочая  субсидия_МР  и  ГО'!AJ38</f>
        <v>0</v>
      </c>
      <c r="F146" s="201">
        <f>'Прочая  субсидия_МР  и  ГО'!AK38</f>
        <v>0</v>
      </c>
      <c r="G146" s="285">
        <f>D146-E146</f>
        <v>5000000</v>
      </c>
      <c r="H146" s="289">
        <f t="shared" ref="H146:H148" si="88">IF(F146&gt;E146,1,0)</f>
        <v>0</v>
      </c>
      <c r="I146" s="289">
        <f t="shared" ref="I146:I152" si="89">IF(G146&lt;0,1,0)</f>
        <v>0</v>
      </c>
    </row>
    <row r="147" spans="1:10" x14ac:dyDescent="0.2">
      <c r="A147" s="385"/>
      <c r="B147" s="386" t="s">
        <v>146</v>
      </c>
      <c r="C147" s="628"/>
      <c r="D147" s="389"/>
      <c r="E147" s="389"/>
      <c r="F147" s="389"/>
      <c r="G147" s="389">
        <f>D147-E147</f>
        <v>0</v>
      </c>
      <c r="H147" s="289">
        <f t="shared" si="88"/>
        <v>0</v>
      </c>
      <c r="I147" s="289">
        <f t="shared" si="89"/>
        <v>0</v>
      </c>
    </row>
    <row r="148" spans="1:10" x14ac:dyDescent="0.2">
      <c r="A148" s="385"/>
      <c r="B148" s="386" t="s">
        <v>147</v>
      </c>
      <c r="C148" s="387"/>
      <c r="D148" s="389"/>
      <c r="E148" s="389"/>
      <c r="F148" s="389"/>
      <c r="G148" s="389">
        <f>D148-E148</f>
        <v>0</v>
      </c>
      <c r="H148" s="289">
        <f t="shared" si="88"/>
        <v>0</v>
      </c>
      <c r="I148" s="289">
        <f t="shared" si="89"/>
        <v>0</v>
      </c>
    </row>
    <row r="149" spans="1:10" x14ac:dyDescent="0.2">
      <c r="A149" s="385"/>
      <c r="B149" s="386" t="s">
        <v>313</v>
      </c>
      <c r="C149" s="387"/>
      <c r="D149" s="389">
        <f>D146</f>
        <v>5000000</v>
      </c>
      <c r="E149" s="389">
        <f t="shared" ref="E149:F149" si="90">E146</f>
        <v>0</v>
      </c>
      <c r="F149" s="389">
        <f t="shared" si="90"/>
        <v>0</v>
      </c>
      <c r="G149" s="389">
        <f t="shared" ref="G149" si="91">D149-E149</f>
        <v>5000000</v>
      </c>
      <c r="H149" s="289">
        <f t="shared" ref="H149" si="92">IF(F149&gt;E149,1,0)</f>
        <v>0</v>
      </c>
      <c r="I149" s="289">
        <f t="shared" si="89"/>
        <v>0</v>
      </c>
    </row>
    <row r="150" spans="1:10" ht="114.75" hidden="1" x14ac:dyDescent="0.2">
      <c r="A150" s="1139"/>
      <c r="B150" s="477" t="s">
        <v>653</v>
      </c>
      <c r="C150" s="144" t="s">
        <v>652</v>
      </c>
      <c r="D150" s="284"/>
      <c r="E150" s="201">
        <f>'Проверочная  таблица'!AO38</f>
        <v>0</v>
      </c>
      <c r="F150" s="201">
        <f>'Проверочная  таблица'!AU38</f>
        <v>0</v>
      </c>
      <c r="G150" s="285">
        <f t="shared" ref="G150:G152" si="93">D150-E150</f>
        <v>0</v>
      </c>
      <c r="H150" s="289">
        <f>IF(F150&gt;E150,1,0)</f>
        <v>0</v>
      </c>
      <c r="I150" s="289">
        <f t="shared" si="89"/>
        <v>0</v>
      </c>
    </row>
    <row r="151" spans="1:10" hidden="1" x14ac:dyDescent="0.2">
      <c r="A151" s="385"/>
      <c r="B151" s="386" t="s">
        <v>146</v>
      </c>
      <c r="C151" s="387"/>
      <c r="D151" s="389"/>
      <c r="E151" s="389"/>
      <c r="F151" s="389"/>
      <c r="G151" s="389">
        <f t="shared" si="93"/>
        <v>0</v>
      </c>
      <c r="H151" s="289">
        <f>IF(F151&gt;E151,1,0)</f>
        <v>0</v>
      </c>
      <c r="I151" s="289">
        <f t="shared" si="89"/>
        <v>0</v>
      </c>
    </row>
    <row r="152" spans="1:10" hidden="1" x14ac:dyDescent="0.2">
      <c r="A152" s="385"/>
      <c r="B152" s="386" t="s">
        <v>147</v>
      </c>
      <c r="C152" s="387"/>
      <c r="D152" s="389">
        <f>D150-D151</f>
        <v>0</v>
      </c>
      <c r="E152" s="389">
        <f>E150-E151</f>
        <v>0</v>
      </c>
      <c r="F152" s="389">
        <f>F150-F151</f>
        <v>0</v>
      </c>
      <c r="G152" s="389">
        <f t="shared" si="93"/>
        <v>0</v>
      </c>
      <c r="H152" s="289">
        <f>IF(F152&gt;E152,1,0)</f>
        <v>0</v>
      </c>
      <c r="I152" s="289">
        <f t="shared" si="89"/>
        <v>0</v>
      </c>
    </row>
    <row r="153" spans="1:10" ht="127.5" hidden="1" x14ac:dyDescent="0.2">
      <c r="A153" s="1139"/>
      <c r="B153" s="477" t="s">
        <v>651</v>
      </c>
      <c r="C153" s="144" t="s">
        <v>664</v>
      </c>
      <c r="D153" s="284"/>
      <c r="E153" s="201">
        <f>'Проверочная  таблица'!NR38</f>
        <v>0</v>
      </c>
      <c r="F153" s="201">
        <f>'Проверочная  таблица'!NY38</f>
        <v>0</v>
      </c>
      <c r="G153" s="285">
        <f t="shared" ref="G153:G157" si="94">D153-E153</f>
        <v>0</v>
      </c>
      <c r="H153" s="289">
        <f t="shared" ref="H153:H158" si="95">IF(F153&gt;E153,1,0)</f>
        <v>0</v>
      </c>
      <c r="I153" s="289">
        <f t="shared" si="81"/>
        <v>0</v>
      </c>
      <c r="J153" s="1523">
        <f>D153+D156</f>
        <v>0</v>
      </c>
    </row>
    <row r="154" spans="1:10" hidden="1" x14ac:dyDescent="0.2">
      <c r="A154" s="385"/>
      <c r="B154" s="386" t="s">
        <v>146</v>
      </c>
      <c r="C154" s="387"/>
      <c r="D154" s="389"/>
      <c r="E154" s="389"/>
      <c r="F154" s="389"/>
      <c r="G154" s="389">
        <f t="shared" si="94"/>
        <v>0</v>
      </c>
      <c r="H154" s="289">
        <f t="shared" si="95"/>
        <v>0</v>
      </c>
      <c r="I154" s="289">
        <f t="shared" si="81"/>
        <v>0</v>
      </c>
    </row>
    <row r="155" spans="1:10" hidden="1" x14ac:dyDescent="0.2">
      <c r="A155" s="385"/>
      <c r="B155" s="386" t="s">
        <v>147</v>
      </c>
      <c r="C155" s="387"/>
      <c r="D155" s="389">
        <f>D153</f>
        <v>0</v>
      </c>
      <c r="E155" s="389">
        <f t="shared" ref="E155:F155" si="96">E153</f>
        <v>0</v>
      </c>
      <c r="F155" s="389">
        <f t="shared" si="96"/>
        <v>0</v>
      </c>
      <c r="G155" s="389">
        <f t="shared" si="94"/>
        <v>0</v>
      </c>
      <c r="H155" s="289">
        <f t="shared" si="95"/>
        <v>0</v>
      </c>
      <c r="I155" s="289">
        <f t="shared" si="81"/>
        <v>0</v>
      </c>
    </row>
    <row r="156" spans="1:10" hidden="1" x14ac:dyDescent="0.2">
      <c r="A156" s="692"/>
      <c r="B156" s="693" t="s">
        <v>58</v>
      </c>
      <c r="C156" s="681" t="s">
        <v>664</v>
      </c>
      <c r="D156" s="694"/>
      <c r="E156" s="691">
        <f>'Проверочная  таблица'!NS38</f>
        <v>0</v>
      </c>
      <c r="F156" s="691">
        <f>'Проверочная  таблица'!NZ38</f>
        <v>0</v>
      </c>
      <c r="G156" s="695">
        <f t="shared" si="94"/>
        <v>0</v>
      </c>
      <c r="H156" s="289">
        <f t="shared" si="95"/>
        <v>0</v>
      </c>
      <c r="I156" s="289">
        <f t="shared" ref="I156:I158" si="97">IF(G156&lt;0,1,0)</f>
        <v>0</v>
      </c>
    </row>
    <row r="157" spans="1:10" hidden="1" x14ac:dyDescent="0.2">
      <c r="A157" s="692"/>
      <c r="B157" s="696" t="s">
        <v>146</v>
      </c>
      <c r="C157" s="697"/>
      <c r="D157" s="695"/>
      <c r="E157" s="695"/>
      <c r="F157" s="695"/>
      <c r="G157" s="695">
        <f t="shared" si="94"/>
        <v>0</v>
      </c>
      <c r="H157" s="289">
        <f t="shared" si="95"/>
        <v>0</v>
      </c>
      <c r="I157" s="289">
        <f t="shared" si="97"/>
        <v>0</v>
      </c>
    </row>
    <row r="158" spans="1:10" hidden="1" x14ac:dyDescent="0.2">
      <c r="A158" s="692"/>
      <c r="B158" s="696" t="s">
        <v>147</v>
      </c>
      <c r="C158" s="697"/>
      <c r="D158" s="695">
        <f>D156</f>
        <v>0</v>
      </c>
      <c r="E158" s="695">
        <f t="shared" ref="E158:G158" si="98">E156</f>
        <v>0</v>
      </c>
      <c r="F158" s="695">
        <f t="shared" si="98"/>
        <v>0</v>
      </c>
      <c r="G158" s="695">
        <f t="shared" si="98"/>
        <v>0</v>
      </c>
      <c r="H158" s="289">
        <f t="shared" si="95"/>
        <v>0</v>
      </c>
      <c r="I158" s="289">
        <f t="shared" si="97"/>
        <v>0</v>
      </c>
    </row>
    <row r="159" spans="1:10" s="801" customFormat="1" x14ac:dyDescent="0.2">
      <c r="A159" s="249"/>
      <c r="B159" s="370"/>
      <c r="C159" s="269"/>
      <c r="D159" s="483"/>
      <c r="E159" s="483"/>
      <c r="F159" s="483"/>
      <c r="G159" s="483"/>
      <c r="H159" s="484"/>
      <c r="I159" s="289">
        <f t="shared" si="81"/>
        <v>0</v>
      </c>
      <c r="J159" s="1524"/>
    </row>
    <row r="160" spans="1:10" x14ac:dyDescent="0.2">
      <c r="A160" s="187" t="s">
        <v>130</v>
      </c>
      <c r="B160" s="251" t="s">
        <v>131</v>
      </c>
      <c r="C160" s="193"/>
      <c r="D160" s="287">
        <f>D177+D169+D173+D165+D181+D184+D187+D190</f>
        <v>634709895.97000003</v>
      </c>
      <c r="E160" s="287">
        <f t="shared" ref="E160:G160" si="99">E177+E169+E173+E165+E181+E184+E187+E190</f>
        <v>610010687.73000002</v>
      </c>
      <c r="F160" s="287">
        <f t="shared" si="99"/>
        <v>349152276.93000001</v>
      </c>
      <c r="G160" s="287">
        <f t="shared" si="99"/>
        <v>24699208.240000024</v>
      </c>
      <c r="H160" s="289">
        <f t="shared" ref="H160:H164" si="100">IF(F160&gt;E160,1,0)</f>
        <v>0</v>
      </c>
      <c r="I160" s="289">
        <f t="shared" si="81"/>
        <v>0</v>
      </c>
    </row>
    <row r="161" spans="1:11" x14ac:dyDescent="0.2">
      <c r="A161" s="378"/>
      <c r="B161" s="379" t="s">
        <v>146</v>
      </c>
      <c r="C161" s="380"/>
      <c r="D161" s="505">
        <f>D166+D170+D174+D178+D182+D185+D188+D191</f>
        <v>33601294.739999995</v>
      </c>
      <c r="E161" s="505">
        <f t="shared" ref="E161:G161" si="101">E166+E170+E174+E178+E182+E185+E188+E191</f>
        <v>29047894.739999998</v>
      </c>
      <c r="F161" s="505">
        <f t="shared" si="101"/>
        <v>11299452.940000001</v>
      </c>
      <c r="G161" s="505">
        <f t="shared" si="101"/>
        <v>4553400</v>
      </c>
      <c r="H161" s="289">
        <f t="shared" si="100"/>
        <v>0</v>
      </c>
      <c r="I161" s="289">
        <f t="shared" si="81"/>
        <v>0</v>
      </c>
    </row>
    <row r="162" spans="1:11" x14ac:dyDescent="0.2">
      <c r="A162" s="378"/>
      <c r="B162" s="379" t="s">
        <v>147</v>
      </c>
      <c r="C162" s="380"/>
      <c r="D162" s="505">
        <f>D160-D161-D163</f>
        <v>0</v>
      </c>
      <c r="E162" s="505">
        <f t="shared" ref="E162:G162" si="102">E160-E161-E163</f>
        <v>0</v>
      </c>
      <c r="F162" s="505">
        <f t="shared" si="102"/>
        <v>0</v>
      </c>
      <c r="G162" s="505">
        <f t="shared" si="102"/>
        <v>0</v>
      </c>
      <c r="H162" s="289">
        <f t="shared" si="100"/>
        <v>0</v>
      </c>
      <c r="I162" s="289">
        <f t="shared" si="81"/>
        <v>0</v>
      </c>
    </row>
    <row r="163" spans="1:11" x14ac:dyDescent="0.2">
      <c r="A163" s="378"/>
      <c r="B163" s="1140" t="s">
        <v>313</v>
      </c>
      <c r="C163" s="380"/>
      <c r="D163" s="505">
        <f>D168+D172+D176+D180</f>
        <v>601108601.23000002</v>
      </c>
      <c r="E163" s="505">
        <f t="shared" ref="E163:G163" si="103">E168+E172+E176+E180</f>
        <v>580962792.99000001</v>
      </c>
      <c r="F163" s="505">
        <f t="shared" si="103"/>
        <v>337852823.99000001</v>
      </c>
      <c r="G163" s="505">
        <f t="shared" si="103"/>
        <v>20145808.240000024</v>
      </c>
      <c r="H163" s="289">
        <f t="shared" ref="H163" si="104">IF(F163&gt;E163,1,0)</f>
        <v>0</v>
      </c>
      <c r="I163" s="289">
        <f t="shared" ref="I163" si="105">IF(G163&lt;0,1,0)</f>
        <v>0</v>
      </c>
    </row>
    <row r="164" spans="1:11" x14ac:dyDescent="0.2">
      <c r="A164" s="195"/>
      <c r="B164" s="476" t="s">
        <v>38</v>
      </c>
      <c r="C164" s="191"/>
      <c r="D164" s="286"/>
      <c r="E164" s="189"/>
      <c r="F164" s="189"/>
      <c r="G164" s="285"/>
      <c r="H164" s="289">
        <f t="shared" si="100"/>
        <v>0</v>
      </c>
      <c r="I164" s="289">
        <f t="shared" si="81"/>
        <v>0</v>
      </c>
    </row>
    <row r="165" spans="1:11" ht="153" x14ac:dyDescent="0.2">
      <c r="A165" s="999"/>
      <c r="B165" s="477" t="s">
        <v>663</v>
      </c>
      <c r="C165" s="144" t="s">
        <v>389</v>
      </c>
      <c r="D165" s="203">
        <f>17587700+40000000-5000000</f>
        <v>52587700</v>
      </c>
      <c r="E165" s="189">
        <f>'Прочая  субсидия_МР  и  ГО'!AP38</f>
        <v>52587700</v>
      </c>
      <c r="F165" s="189">
        <f>'Прочая  субсидия_МР  и  ГО'!AQ38</f>
        <v>13204977.119999999</v>
      </c>
      <c r="G165" s="285">
        <f t="shared" ref="G165:G167" si="106">D165-E165</f>
        <v>0</v>
      </c>
      <c r="H165" s="289">
        <f>IF(F165&gt;E165,1,0)</f>
        <v>0</v>
      </c>
      <c r="I165" s="289">
        <f>IF(G165&lt;0,1,0)</f>
        <v>0</v>
      </c>
    </row>
    <row r="166" spans="1:11" x14ac:dyDescent="0.2">
      <c r="A166" s="385"/>
      <c r="B166" s="386" t="s">
        <v>146</v>
      </c>
      <c r="C166" s="387"/>
      <c r="D166" s="389"/>
      <c r="E166" s="389"/>
      <c r="F166" s="389"/>
      <c r="G166" s="389">
        <f t="shared" si="106"/>
        <v>0</v>
      </c>
      <c r="H166" s="289">
        <f>IF(F166&gt;E166,1,0)</f>
        <v>0</v>
      </c>
      <c r="I166" s="289">
        <f>IF(G166&lt;0,1,0)</f>
        <v>0</v>
      </c>
    </row>
    <row r="167" spans="1:11" x14ac:dyDescent="0.2">
      <c r="A167" s="385"/>
      <c r="B167" s="386" t="s">
        <v>147</v>
      </c>
      <c r="C167" s="627"/>
      <c r="D167" s="388"/>
      <c r="E167" s="388"/>
      <c r="F167" s="388"/>
      <c r="G167" s="389">
        <f t="shared" si="106"/>
        <v>0</v>
      </c>
      <c r="H167" s="289">
        <f>IF(F167&gt;E167,1,0)</f>
        <v>0</v>
      </c>
      <c r="I167" s="289">
        <f>IF(G167&lt;0,1,0)</f>
        <v>0</v>
      </c>
    </row>
    <row r="168" spans="1:11" x14ac:dyDescent="0.2">
      <c r="A168" s="385"/>
      <c r="B168" s="386" t="s">
        <v>313</v>
      </c>
      <c r="C168" s="627"/>
      <c r="D168" s="456">
        <f>D165</f>
        <v>52587700</v>
      </c>
      <c r="E168" s="456">
        <f t="shared" ref="E168:F168" si="107">E165</f>
        <v>52587700</v>
      </c>
      <c r="F168" s="456">
        <f t="shared" si="107"/>
        <v>13204977.119999999</v>
      </c>
      <c r="G168" s="389">
        <f t="shared" ref="G168" si="108">D168-E168</f>
        <v>0</v>
      </c>
      <c r="H168" s="289">
        <f t="shared" ref="H168" si="109">IF(F168&gt;E168,1,0)</f>
        <v>0</v>
      </c>
      <c r="I168" s="289">
        <f t="shared" ref="I168" si="110">IF(G168&lt;0,1,0)</f>
        <v>0</v>
      </c>
    </row>
    <row r="169" spans="1:11" ht="114.75" x14ac:dyDescent="0.2">
      <c r="A169" s="195"/>
      <c r="B169" s="655" t="s">
        <v>572</v>
      </c>
      <c r="C169" s="144" t="s">
        <v>571</v>
      </c>
      <c r="D169" s="656">
        <f>15122326.32+872863.16-0.01</f>
        <v>15995189.470000001</v>
      </c>
      <c r="E169" s="189">
        <f>'Проверочная  таблица'!LB38</f>
        <v>15887899.059999989</v>
      </c>
      <c r="F169" s="189">
        <f>'Проверочная  таблица'!LF38</f>
        <v>12415063.76</v>
      </c>
      <c r="G169" s="285">
        <f t="shared" ref="G169:G173" si="111">D169-E169</f>
        <v>107290.41000001132</v>
      </c>
      <c r="H169" s="289">
        <f t="shared" ref="H169:H171" si="112">IF(F169&gt;E169,1,0)</f>
        <v>0</v>
      </c>
      <c r="I169" s="289">
        <f t="shared" si="81"/>
        <v>0</v>
      </c>
      <c r="J169" s="1523">
        <f>D169+D173</f>
        <v>319903789.47000003</v>
      </c>
      <c r="K169" s="1633">
        <f>G169+G173</f>
        <v>2145808.2399999946</v>
      </c>
    </row>
    <row r="170" spans="1:11" x14ac:dyDescent="0.2">
      <c r="A170" s="385"/>
      <c r="B170" s="386" t="s">
        <v>146</v>
      </c>
      <c r="C170" s="628"/>
      <c r="D170" s="389"/>
      <c r="E170" s="389"/>
      <c r="F170" s="389"/>
      <c r="G170" s="389">
        <f t="shared" si="111"/>
        <v>0</v>
      </c>
      <c r="H170" s="289">
        <f t="shared" si="112"/>
        <v>0</v>
      </c>
      <c r="I170" s="289">
        <f t="shared" si="81"/>
        <v>0</v>
      </c>
      <c r="J170" s="1524"/>
    </row>
    <row r="171" spans="1:11" x14ac:dyDescent="0.2">
      <c r="A171" s="385"/>
      <c r="B171" s="386" t="s">
        <v>147</v>
      </c>
      <c r="C171" s="387"/>
      <c r="D171" s="389"/>
      <c r="E171" s="389"/>
      <c r="F171" s="389"/>
      <c r="G171" s="389">
        <f t="shared" si="111"/>
        <v>0</v>
      </c>
      <c r="H171" s="289">
        <f t="shared" si="112"/>
        <v>0</v>
      </c>
      <c r="I171" s="289">
        <f t="shared" si="81"/>
        <v>0</v>
      </c>
      <c r="J171" s="1523"/>
    </row>
    <row r="172" spans="1:11" x14ac:dyDescent="0.2">
      <c r="A172" s="385"/>
      <c r="B172" s="494" t="s">
        <v>313</v>
      </c>
      <c r="C172" s="387"/>
      <c r="D172" s="389">
        <f>D169</f>
        <v>15995189.470000001</v>
      </c>
      <c r="E172" s="389">
        <f t="shared" ref="E172:F172" si="113">E169</f>
        <v>15887899.059999989</v>
      </c>
      <c r="F172" s="389">
        <f t="shared" si="113"/>
        <v>12415063.76</v>
      </c>
      <c r="G172" s="389">
        <f t="shared" ref="G172" si="114">D172-E172</f>
        <v>107290.41000001132</v>
      </c>
      <c r="H172" s="289">
        <f t="shared" ref="H172" si="115">IF(F172&gt;E172,1,0)</f>
        <v>0</v>
      </c>
      <c r="I172" s="289">
        <f t="shared" ref="I172" si="116">IF(G172&lt;0,1,0)</f>
        <v>0</v>
      </c>
    </row>
    <row r="173" spans="1:11" x14ac:dyDescent="0.2">
      <c r="A173" s="692"/>
      <c r="B173" s="693" t="s">
        <v>58</v>
      </c>
      <c r="C173" s="681" t="s">
        <v>571</v>
      </c>
      <c r="D173" s="694">
        <f>303908600</f>
        <v>303908600</v>
      </c>
      <c r="E173" s="691">
        <f>'Проверочная  таблица'!LC38</f>
        <v>301870082.17000002</v>
      </c>
      <c r="F173" s="691">
        <f>'Проверочная  таблица'!LG38</f>
        <v>235886211.88</v>
      </c>
      <c r="G173" s="695">
        <f t="shared" si="111"/>
        <v>2038517.8299999833</v>
      </c>
      <c r="H173" s="289">
        <f>IF(F173&gt;E173,1,0)</f>
        <v>0</v>
      </c>
      <c r="I173" s="289">
        <f>IF(G173&lt;0,1,0)</f>
        <v>0</v>
      </c>
    </row>
    <row r="174" spans="1:11" x14ac:dyDescent="0.2">
      <c r="A174" s="692"/>
      <c r="B174" s="696" t="s">
        <v>146</v>
      </c>
      <c r="C174" s="697"/>
      <c r="D174" s="695"/>
      <c r="E174" s="695"/>
      <c r="F174" s="695"/>
      <c r="G174" s="695">
        <f>D174-E174</f>
        <v>0</v>
      </c>
      <c r="H174" s="289">
        <f>IF(F174&gt;E174,1,0)</f>
        <v>0</v>
      </c>
      <c r="I174" s="289">
        <f>IF(G174&lt;0,1,0)</f>
        <v>0</v>
      </c>
    </row>
    <row r="175" spans="1:11" x14ac:dyDescent="0.2">
      <c r="A175" s="692"/>
      <c r="B175" s="696" t="s">
        <v>147</v>
      </c>
      <c r="C175" s="697"/>
      <c r="D175" s="695"/>
      <c r="E175" s="695"/>
      <c r="F175" s="695"/>
      <c r="G175" s="695">
        <f>D175-E175</f>
        <v>0</v>
      </c>
      <c r="H175" s="289">
        <f>IF(F175&gt;E175,1,0)</f>
        <v>0</v>
      </c>
      <c r="I175" s="289">
        <f>IF(G175&lt;0,1,0)</f>
        <v>0</v>
      </c>
    </row>
    <row r="176" spans="1:11" x14ac:dyDescent="0.2">
      <c r="A176" s="692"/>
      <c r="B176" s="696" t="s">
        <v>313</v>
      </c>
      <c r="C176" s="697"/>
      <c r="D176" s="695">
        <f>D173</f>
        <v>303908600</v>
      </c>
      <c r="E176" s="695">
        <f t="shared" ref="E176:F176" si="117">E173</f>
        <v>301870082.17000002</v>
      </c>
      <c r="F176" s="695">
        <f t="shared" si="117"/>
        <v>235886211.88</v>
      </c>
      <c r="G176" s="695">
        <f>D176-E176</f>
        <v>2038517.8299999833</v>
      </c>
      <c r="H176" s="289">
        <f>IF(F176&gt;E176,1,0)</f>
        <v>0</v>
      </c>
      <c r="I176" s="289">
        <f>IF(G176&lt;0,1,0)</f>
        <v>0</v>
      </c>
    </row>
    <row r="177" spans="1:10" ht="191.25" x14ac:dyDescent="0.2">
      <c r="A177" s="195"/>
      <c r="B177" s="477" t="s">
        <v>661</v>
      </c>
      <c r="C177" s="144" t="s">
        <v>660</v>
      </c>
      <c r="D177" s="203">
        <f>201671303.52-340107.76+9285916+18000000</f>
        <v>228617111.76000002</v>
      </c>
      <c r="E177" s="189">
        <f>'Проверочная  таблица'!LD38</f>
        <v>210617111.75999999</v>
      </c>
      <c r="F177" s="189">
        <f>'Проверочная  таблица'!LH38</f>
        <v>76346571.230000004</v>
      </c>
      <c r="G177" s="285">
        <f t="shared" ref="G177:G179" si="118">D177-E177</f>
        <v>18000000.00000003</v>
      </c>
      <c r="H177" s="289">
        <f t="shared" ref="H177:H179" si="119">IF(F177&gt;E177,1,0)</f>
        <v>0</v>
      </c>
      <c r="I177" s="289">
        <f t="shared" ref="I177:I179" si="120">IF(G177&lt;0,1,0)</f>
        <v>0</v>
      </c>
    </row>
    <row r="178" spans="1:10" x14ac:dyDescent="0.2">
      <c r="A178" s="385"/>
      <c r="B178" s="386" t="s">
        <v>146</v>
      </c>
      <c r="C178" s="387"/>
      <c r="D178" s="389"/>
      <c r="E178" s="389"/>
      <c r="F178" s="389"/>
      <c r="G178" s="389">
        <f t="shared" si="118"/>
        <v>0</v>
      </c>
      <c r="H178" s="289">
        <f t="shared" si="119"/>
        <v>0</v>
      </c>
      <c r="I178" s="289">
        <f t="shared" si="120"/>
        <v>0</v>
      </c>
    </row>
    <row r="179" spans="1:10" x14ac:dyDescent="0.2">
      <c r="A179" s="385"/>
      <c r="B179" s="386" t="s">
        <v>147</v>
      </c>
      <c r="C179" s="627"/>
      <c r="D179" s="388"/>
      <c r="E179" s="388"/>
      <c r="F179" s="388"/>
      <c r="G179" s="389">
        <f t="shared" si="118"/>
        <v>0</v>
      </c>
      <c r="H179" s="289">
        <f t="shared" si="119"/>
        <v>0</v>
      </c>
      <c r="I179" s="289">
        <f t="shared" si="120"/>
        <v>0</v>
      </c>
    </row>
    <row r="180" spans="1:10" x14ac:dyDescent="0.2">
      <c r="A180" s="385"/>
      <c r="B180" s="386" t="s">
        <v>313</v>
      </c>
      <c r="C180" s="627"/>
      <c r="D180" s="456">
        <f>D177</f>
        <v>228617111.76000002</v>
      </c>
      <c r="E180" s="456">
        <f t="shared" ref="E180:F180" si="121">E177</f>
        <v>210617111.75999999</v>
      </c>
      <c r="F180" s="456">
        <f t="shared" si="121"/>
        <v>76346571.230000004</v>
      </c>
      <c r="G180" s="389">
        <f t="shared" ref="G180" si="122">D180-E180</f>
        <v>18000000.00000003</v>
      </c>
      <c r="H180" s="289">
        <f t="shared" ref="H180" si="123">IF(F180&gt;E180,1,0)</f>
        <v>0</v>
      </c>
      <c r="I180" s="289">
        <f t="shared" ref="I180" si="124">IF(G180&lt;0,1,0)</f>
        <v>0</v>
      </c>
    </row>
    <row r="181" spans="1:10" ht="127.5" x14ac:dyDescent="0.2">
      <c r="A181" s="249"/>
      <c r="B181" s="477" t="s">
        <v>582</v>
      </c>
      <c r="C181" s="250" t="s">
        <v>581</v>
      </c>
      <c r="D181" s="203">
        <v>1052294.74</v>
      </c>
      <c r="E181" s="201">
        <f>'Проверочная  таблица'!MH37</f>
        <v>1052294.74</v>
      </c>
      <c r="F181" s="201">
        <f>'Проверочная  таблица'!MM37</f>
        <v>564972.63</v>
      </c>
      <c r="G181" s="285">
        <f t="shared" ref="G181" si="125">D181-E181</f>
        <v>0</v>
      </c>
      <c r="H181" s="289">
        <f t="shared" ref="H181:H192" si="126">IF(F181&gt;E181,1,0)</f>
        <v>0</v>
      </c>
      <c r="I181" s="289">
        <f t="shared" ref="I181:I183" si="127">IF(G181&lt;0,1,0)</f>
        <v>0</v>
      </c>
      <c r="J181" s="1523">
        <f>D181+D184</f>
        <v>25599294.739999998</v>
      </c>
    </row>
    <row r="182" spans="1:10" x14ac:dyDescent="0.2">
      <c r="A182" s="385"/>
      <c r="B182" s="386" t="s">
        <v>146</v>
      </c>
      <c r="C182" s="387"/>
      <c r="D182" s="456">
        <f>D181</f>
        <v>1052294.74</v>
      </c>
      <c r="E182" s="456">
        <f>E181</f>
        <v>1052294.74</v>
      </c>
      <c r="F182" s="456">
        <f>F181</f>
        <v>564972.63</v>
      </c>
      <c r="G182" s="456">
        <f>G181</f>
        <v>0</v>
      </c>
      <c r="H182" s="289">
        <f t="shared" si="126"/>
        <v>0</v>
      </c>
      <c r="I182" s="289">
        <f t="shared" si="127"/>
        <v>0</v>
      </c>
    </row>
    <row r="183" spans="1:10" x14ac:dyDescent="0.2">
      <c r="A183" s="385"/>
      <c r="B183" s="386" t="s">
        <v>147</v>
      </c>
      <c r="C183" s="387"/>
      <c r="D183" s="389"/>
      <c r="E183" s="389"/>
      <c r="F183" s="389"/>
      <c r="G183" s="389"/>
      <c r="H183" s="289">
        <f t="shared" si="126"/>
        <v>0</v>
      </c>
      <c r="I183" s="289">
        <f t="shared" si="127"/>
        <v>0</v>
      </c>
    </row>
    <row r="184" spans="1:10" x14ac:dyDescent="0.2">
      <c r="A184" s="692"/>
      <c r="B184" s="693" t="s">
        <v>58</v>
      </c>
      <c r="C184" s="711" t="s">
        <v>581</v>
      </c>
      <c r="D184" s="694">
        <f>24547000</f>
        <v>24547000</v>
      </c>
      <c r="E184" s="691">
        <f>'Проверочная  таблица'!MI37</f>
        <v>19993600</v>
      </c>
      <c r="F184" s="691">
        <f>'Проверочная  таблица'!MN37</f>
        <v>10734480.310000001</v>
      </c>
      <c r="G184" s="695">
        <f t="shared" ref="G184" si="128">D184-E184</f>
        <v>4553400</v>
      </c>
      <c r="H184" s="289">
        <f t="shared" si="126"/>
        <v>0</v>
      </c>
      <c r="I184" s="289">
        <f>IF(G184&lt;0,1,0)</f>
        <v>0</v>
      </c>
    </row>
    <row r="185" spans="1:10" x14ac:dyDescent="0.2">
      <c r="A185" s="692"/>
      <c r="B185" s="696" t="s">
        <v>146</v>
      </c>
      <c r="C185" s="697"/>
      <c r="D185" s="691">
        <f>D184</f>
        <v>24547000</v>
      </c>
      <c r="E185" s="691">
        <f>E184</f>
        <v>19993600</v>
      </c>
      <c r="F185" s="691">
        <f>F184</f>
        <v>10734480.310000001</v>
      </c>
      <c r="G185" s="691">
        <f>G184</f>
        <v>4553400</v>
      </c>
      <c r="H185" s="289">
        <f t="shared" si="126"/>
        <v>0</v>
      </c>
      <c r="I185" s="289">
        <f>IF(G185&lt;0,1,0)</f>
        <v>0</v>
      </c>
    </row>
    <row r="186" spans="1:10" x14ac:dyDescent="0.2">
      <c r="A186" s="692"/>
      <c r="B186" s="696" t="s">
        <v>147</v>
      </c>
      <c r="C186" s="697"/>
      <c r="D186" s="695"/>
      <c r="E186" s="695"/>
      <c r="F186" s="695"/>
      <c r="G186" s="695"/>
      <c r="H186" s="289">
        <f t="shared" si="126"/>
        <v>0</v>
      </c>
      <c r="I186" s="289">
        <f>IF(G186&lt;0,1,0)</f>
        <v>0</v>
      </c>
    </row>
    <row r="187" spans="1:10" s="801" customFormat="1" ht="102" x14ac:dyDescent="0.2">
      <c r="A187" s="249"/>
      <c r="B187" s="477" t="s">
        <v>848</v>
      </c>
      <c r="C187" s="250" t="s">
        <v>849</v>
      </c>
      <c r="D187" s="284">
        <f>8002000-7601900</f>
        <v>400100</v>
      </c>
      <c r="E187" s="201">
        <f>'Проверочная  таблица'!MJ37</f>
        <v>400100</v>
      </c>
      <c r="F187" s="201">
        <f>'Проверочная  таблица'!MO37</f>
        <v>0</v>
      </c>
      <c r="G187" s="285">
        <f t="shared" ref="G187:G190" si="129">D187-E187</f>
        <v>0</v>
      </c>
      <c r="H187" s="289">
        <f t="shared" si="126"/>
        <v>0</v>
      </c>
      <c r="I187" s="289">
        <f t="shared" ref="I187:I192" si="130">IF(G187&lt;0,1,0)</f>
        <v>0</v>
      </c>
      <c r="J187" s="1527">
        <f>D187+D190</f>
        <v>8002000</v>
      </c>
    </row>
    <row r="188" spans="1:10" s="801" customFormat="1" x14ac:dyDescent="0.2">
      <c r="A188" s="385"/>
      <c r="B188" s="386" t="s">
        <v>146</v>
      </c>
      <c r="C188" s="387"/>
      <c r="D188" s="456">
        <f>D187</f>
        <v>400100</v>
      </c>
      <c r="E188" s="456">
        <f t="shared" ref="E188:G188" si="131">E187</f>
        <v>400100</v>
      </c>
      <c r="F188" s="456">
        <f t="shared" si="131"/>
        <v>0</v>
      </c>
      <c r="G188" s="456">
        <f t="shared" si="131"/>
        <v>0</v>
      </c>
      <c r="H188" s="289">
        <f t="shared" si="126"/>
        <v>0</v>
      </c>
      <c r="I188" s="289">
        <f t="shared" si="130"/>
        <v>0</v>
      </c>
      <c r="J188" s="1310"/>
    </row>
    <row r="189" spans="1:10" s="801" customFormat="1" x14ac:dyDescent="0.2">
      <c r="A189" s="385"/>
      <c r="B189" s="386" t="s">
        <v>147</v>
      </c>
      <c r="C189" s="387"/>
      <c r="D189" s="389"/>
      <c r="E189" s="389"/>
      <c r="F189" s="389"/>
      <c r="G189" s="389"/>
      <c r="H189" s="289">
        <f t="shared" si="126"/>
        <v>0</v>
      </c>
      <c r="I189" s="289">
        <f t="shared" si="130"/>
        <v>0</v>
      </c>
      <c r="J189" s="1310"/>
    </row>
    <row r="190" spans="1:10" s="801" customFormat="1" x14ac:dyDescent="0.2">
      <c r="A190" s="692"/>
      <c r="B190" s="693" t="s">
        <v>58</v>
      </c>
      <c r="C190" s="681" t="s">
        <v>849</v>
      </c>
      <c r="D190" s="694">
        <v>7601900</v>
      </c>
      <c r="E190" s="695">
        <f>'Проверочная  таблица'!MK37</f>
        <v>7601900</v>
      </c>
      <c r="F190" s="695">
        <f>'Проверочная  таблица'!MP37</f>
        <v>0</v>
      </c>
      <c r="G190" s="695">
        <f t="shared" si="129"/>
        <v>0</v>
      </c>
      <c r="H190" s="289">
        <f t="shared" si="126"/>
        <v>0</v>
      </c>
      <c r="I190" s="289">
        <f t="shared" si="130"/>
        <v>0</v>
      </c>
      <c r="J190" s="1310"/>
    </row>
    <row r="191" spans="1:10" s="801" customFormat="1" x14ac:dyDescent="0.2">
      <c r="A191" s="692"/>
      <c r="B191" s="696" t="s">
        <v>146</v>
      </c>
      <c r="C191" s="697"/>
      <c r="D191" s="691">
        <f>D190</f>
        <v>7601900</v>
      </c>
      <c r="E191" s="691">
        <f t="shared" ref="E191" si="132">E190</f>
        <v>7601900</v>
      </c>
      <c r="F191" s="691">
        <f t="shared" ref="F191" si="133">F190</f>
        <v>0</v>
      </c>
      <c r="G191" s="691">
        <f t="shared" ref="G191" si="134">G190</f>
        <v>0</v>
      </c>
      <c r="H191" s="289">
        <f t="shared" si="126"/>
        <v>0</v>
      </c>
      <c r="I191" s="289">
        <f t="shared" si="130"/>
        <v>0</v>
      </c>
      <c r="J191" s="803"/>
    </row>
    <row r="192" spans="1:10" s="801" customFormat="1" x14ac:dyDescent="0.2">
      <c r="A192" s="692"/>
      <c r="B192" s="696" t="s">
        <v>147</v>
      </c>
      <c r="C192" s="697"/>
      <c r="D192" s="695"/>
      <c r="E192" s="695"/>
      <c r="F192" s="695"/>
      <c r="G192" s="695"/>
      <c r="H192" s="289">
        <f t="shared" si="126"/>
        <v>0</v>
      </c>
      <c r="I192" s="289">
        <f t="shared" si="130"/>
        <v>0</v>
      </c>
      <c r="J192" s="1310"/>
    </row>
    <row r="193" spans="1:9" x14ac:dyDescent="0.2">
      <c r="A193" s="195"/>
      <c r="B193" s="479"/>
      <c r="C193" s="191"/>
      <c r="D193" s="286"/>
      <c r="E193" s="189"/>
      <c r="F193" s="189"/>
      <c r="G193" s="285"/>
      <c r="H193" s="289"/>
      <c r="I193" s="289"/>
    </row>
    <row r="194" spans="1:9" x14ac:dyDescent="0.2">
      <c r="A194" s="187" t="s">
        <v>845</v>
      </c>
      <c r="B194" s="251" t="s">
        <v>847</v>
      </c>
      <c r="C194" s="193"/>
      <c r="D194" s="287">
        <f>D199</f>
        <v>4000000</v>
      </c>
      <c r="E194" s="287">
        <f t="shared" ref="E194:G194" si="135">E199</f>
        <v>0</v>
      </c>
      <c r="F194" s="287">
        <f t="shared" si="135"/>
        <v>0</v>
      </c>
      <c r="G194" s="287">
        <f t="shared" si="135"/>
        <v>4000000</v>
      </c>
      <c r="H194" s="289">
        <f t="shared" ref="H194:H202" si="136">IF(F194&gt;E194,1,0)</f>
        <v>0</v>
      </c>
      <c r="I194" s="289">
        <f t="shared" ref="I194:I202" si="137">IF(G194&lt;0,1,0)</f>
        <v>0</v>
      </c>
    </row>
    <row r="195" spans="1:9" x14ac:dyDescent="0.2">
      <c r="A195" s="378"/>
      <c r="B195" s="379" t="s">
        <v>146</v>
      </c>
      <c r="C195" s="380"/>
      <c r="D195" s="505">
        <f t="shared" ref="D195:G196" si="138">D200</f>
        <v>0</v>
      </c>
      <c r="E195" s="505">
        <f t="shared" si="138"/>
        <v>0</v>
      </c>
      <c r="F195" s="505">
        <f t="shared" si="138"/>
        <v>0</v>
      </c>
      <c r="G195" s="505">
        <f t="shared" si="138"/>
        <v>0</v>
      </c>
      <c r="H195" s="289">
        <f t="shared" si="136"/>
        <v>0</v>
      </c>
      <c r="I195" s="289">
        <f t="shared" si="137"/>
        <v>0</v>
      </c>
    </row>
    <row r="196" spans="1:9" x14ac:dyDescent="0.2">
      <c r="A196" s="378"/>
      <c r="B196" s="379" t="s">
        <v>147</v>
      </c>
      <c r="C196" s="380"/>
      <c r="D196" s="505">
        <f t="shared" si="138"/>
        <v>0</v>
      </c>
      <c r="E196" s="505">
        <f t="shared" si="138"/>
        <v>0</v>
      </c>
      <c r="F196" s="505">
        <f t="shared" si="138"/>
        <v>0</v>
      </c>
      <c r="G196" s="505">
        <f t="shared" si="138"/>
        <v>0</v>
      </c>
      <c r="H196" s="289">
        <f t="shared" si="136"/>
        <v>0</v>
      </c>
      <c r="I196" s="289">
        <f t="shared" si="137"/>
        <v>0</v>
      </c>
    </row>
    <row r="197" spans="1:9" x14ac:dyDescent="0.2">
      <c r="A197" s="378"/>
      <c r="B197" s="379" t="s">
        <v>313</v>
      </c>
      <c r="C197" s="380"/>
      <c r="D197" s="505">
        <f t="shared" ref="D197:G197" si="139">D194-D195-D196</f>
        <v>4000000</v>
      </c>
      <c r="E197" s="505">
        <f t="shared" si="139"/>
        <v>0</v>
      </c>
      <c r="F197" s="505">
        <f t="shared" si="139"/>
        <v>0</v>
      </c>
      <c r="G197" s="505">
        <f t="shared" si="139"/>
        <v>4000000</v>
      </c>
      <c r="H197" s="289">
        <f t="shared" si="136"/>
        <v>0</v>
      </c>
      <c r="I197" s="289">
        <f t="shared" si="137"/>
        <v>0</v>
      </c>
    </row>
    <row r="198" spans="1:9" x14ac:dyDescent="0.2">
      <c r="A198" s="1548"/>
      <c r="B198" s="476" t="s">
        <v>38</v>
      </c>
      <c r="C198" s="191"/>
      <c r="D198" s="286"/>
      <c r="E198" s="189"/>
      <c r="F198" s="189"/>
      <c r="G198" s="285"/>
      <c r="H198" s="289">
        <f t="shared" si="136"/>
        <v>0</v>
      </c>
      <c r="I198" s="289">
        <f t="shared" si="137"/>
        <v>0</v>
      </c>
    </row>
    <row r="199" spans="1:9" ht="153" x14ac:dyDescent="0.2">
      <c r="A199" s="1548"/>
      <c r="B199" s="477" t="s">
        <v>846</v>
      </c>
      <c r="C199" s="144" t="s">
        <v>844</v>
      </c>
      <c r="D199" s="203">
        <v>4000000</v>
      </c>
      <c r="E199" s="201">
        <f>'Прочая  субсидия_МР  и  ГО'!AL38</f>
        <v>0</v>
      </c>
      <c r="F199" s="201">
        <f>'Прочая  субсидия_МР  и  ГО'!AM38</f>
        <v>0</v>
      </c>
      <c r="G199" s="285">
        <f t="shared" ref="G199:G201" si="140">D199-E199</f>
        <v>4000000</v>
      </c>
      <c r="H199" s="289">
        <f t="shared" si="136"/>
        <v>0</v>
      </c>
      <c r="I199" s="289">
        <f t="shared" si="137"/>
        <v>0</v>
      </c>
    </row>
    <row r="200" spans="1:9" x14ac:dyDescent="0.2">
      <c r="A200" s="385"/>
      <c r="B200" s="386" t="s">
        <v>146</v>
      </c>
      <c r="C200" s="387"/>
      <c r="D200" s="389"/>
      <c r="E200" s="389"/>
      <c r="F200" s="389"/>
      <c r="G200" s="389">
        <f t="shared" si="140"/>
        <v>0</v>
      </c>
      <c r="H200" s="289">
        <f t="shared" si="136"/>
        <v>0</v>
      </c>
      <c r="I200" s="289">
        <f t="shared" si="137"/>
        <v>0</v>
      </c>
    </row>
    <row r="201" spans="1:9" x14ac:dyDescent="0.2">
      <c r="A201" s="385"/>
      <c r="B201" s="386" t="s">
        <v>147</v>
      </c>
      <c r="C201" s="387"/>
      <c r="D201" s="389"/>
      <c r="E201" s="389"/>
      <c r="F201" s="389"/>
      <c r="G201" s="389">
        <f t="shared" si="140"/>
        <v>0</v>
      </c>
      <c r="H201" s="289">
        <f t="shared" si="136"/>
        <v>0</v>
      </c>
      <c r="I201" s="289">
        <f t="shared" si="137"/>
        <v>0</v>
      </c>
    </row>
    <row r="202" spans="1:9" x14ac:dyDescent="0.2">
      <c r="A202" s="385"/>
      <c r="B202" s="386" t="s">
        <v>313</v>
      </c>
      <c r="C202" s="387"/>
      <c r="D202" s="389">
        <f>D199</f>
        <v>4000000</v>
      </c>
      <c r="E202" s="389">
        <f t="shared" ref="E202:G202" si="141">E199</f>
        <v>0</v>
      </c>
      <c r="F202" s="389">
        <f t="shared" si="141"/>
        <v>0</v>
      </c>
      <c r="G202" s="389">
        <f t="shared" si="141"/>
        <v>4000000</v>
      </c>
      <c r="H202" s="289">
        <f t="shared" si="136"/>
        <v>0</v>
      </c>
      <c r="I202" s="289">
        <f t="shared" si="137"/>
        <v>0</v>
      </c>
    </row>
    <row r="203" spans="1:9" x14ac:dyDescent="0.2">
      <c r="A203" s="1548"/>
      <c r="B203" s="479"/>
      <c r="C203" s="191"/>
      <c r="D203" s="286"/>
      <c r="E203" s="189"/>
      <c r="F203" s="189"/>
      <c r="G203" s="285"/>
      <c r="H203" s="289"/>
      <c r="I203" s="289"/>
    </row>
    <row r="204" spans="1:9" ht="25.5" x14ac:dyDescent="0.2">
      <c r="A204" s="187" t="s">
        <v>324</v>
      </c>
      <c r="B204" s="251" t="s">
        <v>325</v>
      </c>
      <c r="C204" s="193"/>
      <c r="D204" s="287">
        <f>D209+D213+D217</f>
        <v>77247867.450000003</v>
      </c>
      <c r="E204" s="287">
        <f t="shared" ref="E204:G204" si="142">E209+E213+E217</f>
        <v>77247867.450000003</v>
      </c>
      <c r="F204" s="287">
        <f t="shared" si="142"/>
        <v>60444511.189999998</v>
      </c>
      <c r="G204" s="287">
        <f t="shared" si="142"/>
        <v>0</v>
      </c>
      <c r="H204" s="289">
        <f t="shared" ref="H204:H218" si="143">IF(F204&gt;E204,1,0)</f>
        <v>0</v>
      </c>
      <c r="I204" s="289">
        <f t="shared" si="81"/>
        <v>0</v>
      </c>
    </row>
    <row r="205" spans="1:9" x14ac:dyDescent="0.2">
      <c r="A205" s="378"/>
      <c r="B205" s="379" t="s">
        <v>146</v>
      </c>
      <c r="C205" s="380"/>
      <c r="D205" s="505">
        <f t="shared" ref="D205:G206" si="144">D210+D214+D218</f>
        <v>0</v>
      </c>
      <c r="E205" s="505">
        <f t="shared" si="144"/>
        <v>0</v>
      </c>
      <c r="F205" s="505">
        <f t="shared" si="144"/>
        <v>0</v>
      </c>
      <c r="G205" s="505">
        <f t="shared" si="144"/>
        <v>0</v>
      </c>
      <c r="H205" s="289">
        <f t="shared" si="143"/>
        <v>0</v>
      </c>
      <c r="I205" s="289">
        <f t="shared" si="81"/>
        <v>0</v>
      </c>
    </row>
    <row r="206" spans="1:9" x14ac:dyDescent="0.2">
      <c r="A206" s="378"/>
      <c r="B206" s="379" t="s">
        <v>147</v>
      </c>
      <c r="C206" s="380"/>
      <c r="D206" s="505">
        <f t="shared" si="144"/>
        <v>0</v>
      </c>
      <c r="E206" s="505">
        <f t="shared" si="144"/>
        <v>0</v>
      </c>
      <c r="F206" s="505">
        <f t="shared" si="144"/>
        <v>0</v>
      </c>
      <c r="G206" s="505">
        <f t="shared" si="144"/>
        <v>0</v>
      </c>
      <c r="H206" s="289">
        <f t="shared" si="143"/>
        <v>0</v>
      </c>
      <c r="I206" s="289">
        <f t="shared" si="81"/>
        <v>0</v>
      </c>
    </row>
    <row r="207" spans="1:9" x14ac:dyDescent="0.2">
      <c r="A207" s="378"/>
      <c r="B207" s="379" t="s">
        <v>313</v>
      </c>
      <c r="C207" s="380"/>
      <c r="D207" s="505">
        <f t="shared" ref="D207" si="145">D204-D205-D206</f>
        <v>77247867.450000003</v>
      </c>
      <c r="E207" s="505">
        <f t="shared" ref="E207:G207" si="146">E204-E205-E206</f>
        <v>77247867.450000003</v>
      </c>
      <c r="F207" s="505">
        <f t="shared" si="146"/>
        <v>60444511.189999998</v>
      </c>
      <c r="G207" s="505">
        <f t="shared" si="146"/>
        <v>0</v>
      </c>
      <c r="H207" s="289">
        <f t="shared" ref="H207" si="147">IF(F207&gt;E207,1,0)</f>
        <v>0</v>
      </c>
      <c r="I207" s="289">
        <f t="shared" ref="I207" si="148">IF(G207&lt;0,1,0)</f>
        <v>0</v>
      </c>
    </row>
    <row r="208" spans="1:9" x14ac:dyDescent="0.2">
      <c r="A208" s="195"/>
      <c r="B208" s="476" t="s">
        <v>38</v>
      </c>
      <c r="C208" s="191"/>
      <c r="D208" s="286"/>
      <c r="E208" s="189"/>
      <c r="F208" s="189"/>
      <c r="G208" s="285"/>
      <c r="H208" s="289">
        <f t="shared" si="143"/>
        <v>0</v>
      </c>
      <c r="I208" s="289">
        <f t="shared" si="81"/>
        <v>0</v>
      </c>
    </row>
    <row r="209" spans="1:10" ht="229.5" x14ac:dyDescent="0.2">
      <c r="A209" s="195"/>
      <c r="B209" s="477" t="s">
        <v>577</v>
      </c>
      <c r="C209" s="144" t="s">
        <v>217</v>
      </c>
      <c r="D209" s="203">
        <v>14916337.449999999</v>
      </c>
      <c r="E209" s="201">
        <f>'Прочая  субсидия_МР  и  ГО'!AH38</f>
        <v>14916337.450000001</v>
      </c>
      <c r="F209" s="201">
        <f>'Прочая  субсидия_МР  и  ГО'!AI38</f>
        <v>12147680.85</v>
      </c>
      <c r="G209" s="285">
        <f t="shared" ref="G209:G213" si="149">D209-E209</f>
        <v>0</v>
      </c>
      <c r="H209" s="289">
        <f t="shared" si="143"/>
        <v>0</v>
      </c>
      <c r="I209" s="289">
        <f t="shared" si="81"/>
        <v>0</v>
      </c>
    </row>
    <row r="210" spans="1:10" x14ac:dyDescent="0.2">
      <c r="A210" s="385"/>
      <c r="B210" s="386" t="s">
        <v>146</v>
      </c>
      <c r="C210" s="387"/>
      <c r="D210" s="389"/>
      <c r="E210" s="389"/>
      <c r="F210" s="389"/>
      <c r="G210" s="389">
        <f t="shared" si="149"/>
        <v>0</v>
      </c>
      <c r="H210" s="289">
        <f t="shared" si="143"/>
        <v>0</v>
      </c>
      <c r="I210" s="289">
        <f t="shared" si="81"/>
        <v>0</v>
      </c>
    </row>
    <row r="211" spans="1:10" x14ac:dyDescent="0.2">
      <c r="A211" s="385"/>
      <c r="B211" s="386" t="s">
        <v>147</v>
      </c>
      <c r="C211" s="387"/>
      <c r="D211" s="389"/>
      <c r="E211" s="389"/>
      <c r="F211" s="389"/>
      <c r="G211" s="389">
        <f t="shared" si="149"/>
        <v>0</v>
      </c>
      <c r="H211" s="289">
        <f t="shared" si="143"/>
        <v>0</v>
      </c>
      <c r="I211" s="289">
        <f t="shared" si="81"/>
        <v>0</v>
      </c>
    </row>
    <row r="212" spans="1:10" x14ac:dyDescent="0.2">
      <c r="A212" s="385"/>
      <c r="B212" s="386" t="s">
        <v>313</v>
      </c>
      <c r="C212" s="387"/>
      <c r="D212" s="389">
        <f>D209</f>
        <v>14916337.449999999</v>
      </c>
      <c r="E212" s="389">
        <f t="shared" ref="E212:G212" si="150">E209</f>
        <v>14916337.450000001</v>
      </c>
      <c r="F212" s="389">
        <f t="shared" si="150"/>
        <v>12147680.85</v>
      </c>
      <c r="G212" s="389">
        <f t="shared" si="150"/>
        <v>0</v>
      </c>
      <c r="H212" s="289">
        <f t="shared" ref="H212" si="151">IF(F212&gt;E212,1,0)</f>
        <v>0</v>
      </c>
      <c r="I212" s="289">
        <f t="shared" ref="I212" si="152">IF(G212&lt;0,1,0)</f>
        <v>0</v>
      </c>
    </row>
    <row r="213" spans="1:10" ht="229.5" x14ac:dyDescent="0.2">
      <c r="A213" s="1035"/>
      <c r="B213" s="475" t="s">
        <v>435</v>
      </c>
      <c r="C213" s="144" t="s">
        <v>434</v>
      </c>
      <c r="D213" s="886">
        <v>17452830</v>
      </c>
      <c r="E213" s="450">
        <f>'Проверочная  таблица'!FR38</f>
        <v>17452830</v>
      </c>
      <c r="F213" s="450">
        <f>'Проверочная  таблица'!FU38</f>
        <v>13523367.289999999</v>
      </c>
      <c r="G213" s="285">
        <f t="shared" si="149"/>
        <v>0</v>
      </c>
      <c r="H213" s="289">
        <f t="shared" si="143"/>
        <v>0</v>
      </c>
      <c r="I213" s="289">
        <f t="shared" si="81"/>
        <v>0</v>
      </c>
      <c r="J213" s="1523">
        <f>D213+D217</f>
        <v>62331530</v>
      </c>
    </row>
    <row r="214" spans="1:10" x14ac:dyDescent="0.2">
      <c r="A214" s="385"/>
      <c r="B214" s="386" t="s">
        <v>146</v>
      </c>
      <c r="C214" s="387"/>
      <c r="D214" s="389"/>
      <c r="E214" s="389"/>
      <c r="F214" s="389"/>
      <c r="G214" s="389"/>
      <c r="H214" s="289">
        <f t="shared" si="143"/>
        <v>0</v>
      </c>
      <c r="I214" s="289">
        <f t="shared" si="81"/>
        <v>0</v>
      </c>
      <c r="J214" s="1310">
        <f>62331530-J213</f>
        <v>0</v>
      </c>
    </row>
    <row r="215" spans="1:10" x14ac:dyDescent="0.2">
      <c r="A215" s="385"/>
      <c r="B215" s="386" t="s">
        <v>147</v>
      </c>
      <c r="C215" s="387"/>
      <c r="D215" s="389"/>
      <c r="E215" s="389"/>
      <c r="F215" s="389"/>
      <c r="G215" s="389"/>
      <c r="H215" s="289">
        <f t="shared" si="143"/>
        <v>0</v>
      </c>
      <c r="I215" s="289">
        <f t="shared" si="81"/>
        <v>0</v>
      </c>
      <c r="J215" s="1523"/>
    </row>
    <row r="216" spans="1:10" x14ac:dyDescent="0.2">
      <c r="A216" s="385"/>
      <c r="B216" s="494" t="s">
        <v>313</v>
      </c>
      <c r="C216" s="387"/>
      <c r="D216" s="389">
        <f>D213</f>
        <v>17452830</v>
      </c>
      <c r="E216" s="389">
        <f t="shared" ref="E216:G216" si="153">E213</f>
        <v>17452830</v>
      </c>
      <c r="F216" s="389">
        <f t="shared" si="153"/>
        <v>13523367.289999999</v>
      </c>
      <c r="G216" s="389">
        <f t="shared" si="153"/>
        <v>0</v>
      </c>
      <c r="H216" s="289">
        <f t="shared" ref="H216" si="154">IF(F216&gt;E216,1,0)</f>
        <v>0</v>
      </c>
      <c r="I216" s="289">
        <f t="shared" ref="I216" si="155">IF(G216&lt;0,1,0)</f>
        <v>0</v>
      </c>
    </row>
    <row r="217" spans="1:10" x14ac:dyDescent="0.2">
      <c r="A217" s="692"/>
      <c r="B217" s="693" t="s">
        <v>58</v>
      </c>
      <c r="C217" s="681" t="s">
        <v>434</v>
      </c>
      <c r="D217" s="694">
        <v>44878700</v>
      </c>
      <c r="E217" s="941">
        <f>'Проверочная  таблица'!FS38</f>
        <v>44878700</v>
      </c>
      <c r="F217" s="941">
        <f>'Проверочная  таблица'!FV38</f>
        <v>34773463.049999997</v>
      </c>
      <c r="G217" s="695">
        <f>D217-E217</f>
        <v>0</v>
      </c>
      <c r="H217" s="289">
        <f t="shared" si="143"/>
        <v>0</v>
      </c>
      <c r="I217" s="289">
        <f t="shared" si="81"/>
        <v>0</v>
      </c>
    </row>
    <row r="218" spans="1:10" x14ac:dyDescent="0.2">
      <c r="A218" s="692"/>
      <c r="B218" s="696" t="s">
        <v>146</v>
      </c>
      <c r="C218" s="697"/>
      <c r="D218" s="695"/>
      <c r="E218" s="695"/>
      <c r="F218" s="695"/>
      <c r="G218" s="695"/>
      <c r="H218" s="289">
        <f t="shared" si="143"/>
        <v>0</v>
      </c>
      <c r="I218" s="289">
        <f t="shared" si="81"/>
        <v>0</v>
      </c>
    </row>
    <row r="219" spans="1:10" x14ac:dyDescent="0.2">
      <c r="A219" s="692"/>
      <c r="B219" s="696" t="s">
        <v>147</v>
      </c>
      <c r="C219" s="697"/>
      <c r="D219" s="695"/>
      <c r="E219" s="695"/>
      <c r="F219" s="695"/>
      <c r="G219" s="695">
        <f>G217-G218</f>
        <v>0</v>
      </c>
      <c r="H219" s="289">
        <f>IF(F219&gt;E219,1,0)</f>
        <v>0</v>
      </c>
      <c r="I219" s="289">
        <f>IF(G219&lt;0,1,0)</f>
        <v>0</v>
      </c>
    </row>
    <row r="220" spans="1:10" x14ac:dyDescent="0.2">
      <c r="A220" s="692"/>
      <c r="B220" s="696" t="s">
        <v>313</v>
      </c>
      <c r="C220" s="697"/>
      <c r="D220" s="695">
        <f>D217</f>
        <v>44878700</v>
      </c>
      <c r="E220" s="695">
        <f t="shared" ref="E220:F220" si="156">E217</f>
        <v>44878700</v>
      </c>
      <c r="F220" s="695">
        <f t="shared" si="156"/>
        <v>34773463.049999997</v>
      </c>
      <c r="G220" s="695">
        <f>G218-G219</f>
        <v>0</v>
      </c>
      <c r="H220" s="289">
        <f>IF(F220&gt;E220,1,0)</f>
        <v>0</v>
      </c>
      <c r="I220" s="289">
        <f>IF(G220&lt;0,1,0)</f>
        <v>0</v>
      </c>
    </row>
    <row r="221" spans="1:10" x14ac:dyDescent="0.2">
      <c r="A221" s="1035"/>
      <c r="B221" s="479"/>
      <c r="C221" s="191"/>
      <c r="D221" s="286"/>
      <c r="E221" s="189"/>
      <c r="F221" s="189"/>
      <c r="G221" s="285"/>
      <c r="H221" s="289"/>
      <c r="I221" s="289"/>
    </row>
    <row r="222" spans="1:10" x14ac:dyDescent="0.2">
      <c r="A222" s="187" t="s">
        <v>50</v>
      </c>
      <c r="B222" s="251" t="s">
        <v>51</v>
      </c>
      <c r="C222" s="193"/>
      <c r="D222" s="287">
        <f t="shared" ref="D222:G222" si="157">D244+D230+D233+D227+D236+D240</f>
        <v>200166084.28999999</v>
      </c>
      <c r="E222" s="287">
        <f t="shared" si="157"/>
        <v>200166084.28999999</v>
      </c>
      <c r="F222" s="287">
        <f t="shared" si="157"/>
        <v>94147973.650000006</v>
      </c>
      <c r="G222" s="287">
        <f t="shared" si="157"/>
        <v>0</v>
      </c>
      <c r="H222" s="289">
        <f t="shared" ref="H222:H235" si="158">IF(F222&gt;E222,1,0)</f>
        <v>0</v>
      </c>
      <c r="I222" s="289">
        <f t="shared" si="81"/>
        <v>0</v>
      </c>
    </row>
    <row r="223" spans="1:10" x14ac:dyDescent="0.2">
      <c r="A223" s="378"/>
      <c r="B223" s="379" t="s">
        <v>146</v>
      </c>
      <c r="C223" s="380"/>
      <c r="D223" s="505">
        <f>D228+D237+D241+D245</f>
        <v>20619030</v>
      </c>
      <c r="E223" s="505">
        <f t="shared" ref="E223:G223" si="159">E245+E231+E234+E228+E237+E241</f>
        <v>20619030</v>
      </c>
      <c r="F223" s="505">
        <f t="shared" si="159"/>
        <v>11799844.289999999</v>
      </c>
      <c r="G223" s="505">
        <f t="shared" si="159"/>
        <v>0</v>
      </c>
      <c r="H223" s="289">
        <f t="shared" si="158"/>
        <v>0</v>
      </c>
      <c r="I223" s="289">
        <f t="shared" si="81"/>
        <v>0</v>
      </c>
    </row>
    <row r="224" spans="1:10" x14ac:dyDescent="0.2">
      <c r="A224" s="378"/>
      <c r="B224" s="379" t="s">
        <v>147</v>
      </c>
      <c r="C224" s="380"/>
      <c r="D224" s="505">
        <f>D229+D238+D242+D246</f>
        <v>0</v>
      </c>
      <c r="E224" s="505">
        <f t="shared" ref="E224:G224" si="160">E246+E232+E235+E229+E238+E242</f>
        <v>0</v>
      </c>
      <c r="F224" s="505">
        <f t="shared" si="160"/>
        <v>0</v>
      </c>
      <c r="G224" s="505">
        <f t="shared" si="160"/>
        <v>0</v>
      </c>
      <c r="H224" s="289">
        <f t="shared" si="158"/>
        <v>0</v>
      </c>
      <c r="I224" s="289">
        <f t="shared" si="81"/>
        <v>0</v>
      </c>
    </row>
    <row r="225" spans="1:10" x14ac:dyDescent="0.2">
      <c r="A225" s="378"/>
      <c r="B225" s="379" t="s">
        <v>313</v>
      </c>
      <c r="C225" s="380"/>
      <c r="D225" s="505">
        <f>D222-D223-D224</f>
        <v>179547054.28999999</v>
      </c>
      <c r="E225" s="505">
        <f t="shared" ref="E225:G225" si="161">E222-E223-E224</f>
        <v>179547054.28999999</v>
      </c>
      <c r="F225" s="505">
        <f t="shared" si="161"/>
        <v>82348129.360000014</v>
      </c>
      <c r="G225" s="505">
        <f t="shared" si="161"/>
        <v>0</v>
      </c>
      <c r="H225" s="289">
        <f t="shared" ref="H225" si="162">IF(F225&gt;E225,1,0)</f>
        <v>0</v>
      </c>
      <c r="I225" s="289">
        <f t="shared" ref="I225" si="163">IF(G225&lt;0,1,0)</f>
        <v>0</v>
      </c>
    </row>
    <row r="226" spans="1:10" x14ac:dyDescent="0.2">
      <c r="A226" s="195"/>
      <c r="B226" s="476" t="s">
        <v>38</v>
      </c>
      <c r="C226" s="191"/>
      <c r="D226" s="286"/>
      <c r="E226" s="189"/>
      <c r="F226" s="189"/>
      <c r="G226" s="285"/>
      <c r="H226" s="289">
        <f t="shared" si="158"/>
        <v>0</v>
      </c>
      <c r="I226" s="289">
        <f t="shared" si="81"/>
        <v>0</v>
      </c>
    </row>
    <row r="227" spans="1:10" ht="153" x14ac:dyDescent="0.2">
      <c r="A227" s="249"/>
      <c r="B227" s="477" t="s">
        <v>280</v>
      </c>
      <c r="C227" s="144" t="s">
        <v>279</v>
      </c>
      <c r="D227" s="270">
        <v>9141400</v>
      </c>
      <c r="E227" s="189">
        <f>'Проверочная  таблица'!DW37</f>
        <v>9141400</v>
      </c>
      <c r="F227" s="189">
        <f>'Проверочная  таблица'!ED37</f>
        <v>6002808.6699999999</v>
      </c>
      <c r="G227" s="285">
        <f>D227-E227</f>
        <v>0</v>
      </c>
      <c r="H227" s="289">
        <f>IF(F227&gt;E227,1,0)</f>
        <v>0</v>
      </c>
      <c r="I227" s="289">
        <f>IF(G227&lt;0,1,0)</f>
        <v>0</v>
      </c>
    </row>
    <row r="228" spans="1:10" x14ac:dyDescent="0.2">
      <c r="A228" s="385"/>
      <c r="B228" s="386" t="s">
        <v>146</v>
      </c>
      <c r="C228" s="387"/>
      <c r="D228" s="389">
        <f>D227-D229</f>
        <v>9141400</v>
      </c>
      <c r="E228" s="389">
        <f>E227-E229</f>
        <v>9141400</v>
      </c>
      <c r="F228" s="389">
        <f>F227-F229</f>
        <v>6002808.6699999999</v>
      </c>
      <c r="G228" s="389">
        <f>G227-G229</f>
        <v>0</v>
      </c>
      <c r="H228" s="289">
        <f>IF(F228&gt;E228,1,0)</f>
        <v>0</v>
      </c>
      <c r="I228" s="289">
        <f>IF(G228&lt;0,1,0)</f>
        <v>0</v>
      </c>
    </row>
    <row r="229" spans="1:10" x14ac:dyDescent="0.2">
      <c r="A229" s="385"/>
      <c r="B229" s="386" t="s">
        <v>147</v>
      </c>
      <c r="C229" s="387"/>
      <c r="D229" s="388"/>
      <c r="E229" s="388"/>
      <c r="F229" s="388">
        <v>0</v>
      </c>
      <c r="G229" s="389">
        <f>D229-E229</f>
        <v>0</v>
      </c>
      <c r="H229" s="289">
        <f>IF(F229&gt;E229,1,0)</f>
        <v>0</v>
      </c>
      <c r="I229" s="289">
        <f>IF(G229&lt;0,1,0)</f>
        <v>0</v>
      </c>
    </row>
    <row r="230" spans="1:10" ht="204" hidden="1" x14ac:dyDescent="0.2">
      <c r="A230" s="1139"/>
      <c r="B230" s="477" t="s">
        <v>233</v>
      </c>
      <c r="C230" s="144" t="s">
        <v>219</v>
      </c>
      <c r="D230" s="270"/>
      <c r="E230" s="189">
        <f>'Проверочная  таблица'!DU37</f>
        <v>0</v>
      </c>
      <c r="F230" s="189">
        <f>'Проверочная  таблица'!EB37</f>
        <v>0</v>
      </c>
      <c r="G230" s="285">
        <f>D230-E230</f>
        <v>0</v>
      </c>
      <c r="H230" s="289">
        <f t="shared" si="158"/>
        <v>0</v>
      </c>
      <c r="I230" s="289">
        <f t="shared" si="81"/>
        <v>0</v>
      </c>
      <c r="J230" s="1523">
        <f>D230+D233</f>
        <v>0</v>
      </c>
    </row>
    <row r="231" spans="1:10" hidden="1" x14ac:dyDescent="0.2">
      <c r="A231" s="385"/>
      <c r="B231" s="386" t="s">
        <v>146</v>
      </c>
      <c r="C231" s="387"/>
      <c r="D231" s="389">
        <f>D230-D232</f>
        <v>0</v>
      </c>
      <c r="E231" s="389">
        <f>E230-E232</f>
        <v>0</v>
      </c>
      <c r="F231" s="389">
        <f>F230-F232</f>
        <v>0</v>
      </c>
      <c r="G231" s="389">
        <f>G230-G232</f>
        <v>0</v>
      </c>
      <c r="H231" s="289">
        <f t="shared" si="158"/>
        <v>0</v>
      </c>
      <c r="I231" s="289">
        <f t="shared" si="81"/>
        <v>0</v>
      </c>
    </row>
    <row r="232" spans="1:10" hidden="1" x14ac:dyDescent="0.2">
      <c r="A232" s="385"/>
      <c r="B232" s="386" t="s">
        <v>147</v>
      </c>
      <c r="C232" s="387"/>
      <c r="D232" s="388"/>
      <c r="E232" s="388"/>
      <c r="F232" s="388">
        <v>0</v>
      </c>
      <c r="G232" s="389">
        <f t="shared" ref="G232:G246" si="164">D232-E232</f>
        <v>0</v>
      </c>
      <c r="H232" s="289">
        <f t="shared" si="158"/>
        <v>0</v>
      </c>
      <c r="I232" s="289">
        <f t="shared" si="81"/>
        <v>0</v>
      </c>
    </row>
    <row r="233" spans="1:10" hidden="1" x14ac:dyDescent="0.2">
      <c r="A233" s="692"/>
      <c r="B233" s="693" t="s">
        <v>58</v>
      </c>
      <c r="C233" s="681" t="s">
        <v>219</v>
      </c>
      <c r="D233" s="694"/>
      <c r="E233" s="691">
        <f>'Проверочная  таблица'!DV37</f>
        <v>0</v>
      </c>
      <c r="F233" s="691">
        <f>'Проверочная  таблица'!EC37</f>
        <v>0</v>
      </c>
      <c r="G233" s="695">
        <f t="shared" si="164"/>
        <v>0</v>
      </c>
      <c r="H233" s="289">
        <f t="shared" si="158"/>
        <v>0</v>
      </c>
      <c r="I233" s="289">
        <f t="shared" si="81"/>
        <v>0</v>
      </c>
    </row>
    <row r="234" spans="1:10" hidden="1" x14ac:dyDescent="0.2">
      <c r="A234" s="692"/>
      <c r="B234" s="696" t="s">
        <v>146</v>
      </c>
      <c r="C234" s="697"/>
      <c r="D234" s="695">
        <f>D233-D235</f>
        <v>0</v>
      </c>
      <c r="E234" s="695">
        <f>E233-E235</f>
        <v>0</v>
      </c>
      <c r="F234" s="695">
        <f>F233-F235</f>
        <v>0</v>
      </c>
      <c r="G234" s="695">
        <f>G233-G235</f>
        <v>0</v>
      </c>
      <c r="H234" s="289">
        <f t="shared" si="158"/>
        <v>0</v>
      </c>
      <c r="I234" s="289">
        <f t="shared" si="81"/>
        <v>0</v>
      </c>
    </row>
    <row r="235" spans="1:10" hidden="1" x14ac:dyDescent="0.2">
      <c r="A235" s="692"/>
      <c r="B235" s="696" t="s">
        <v>147</v>
      </c>
      <c r="C235" s="697"/>
      <c r="D235" s="698"/>
      <c r="E235" s="698"/>
      <c r="F235" s="698">
        <v>0</v>
      </c>
      <c r="G235" s="695">
        <f>D235-E235</f>
        <v>0</v>
      </c>
      <c r="H235" s="289">
        <f t="shared" si="158"/>
        <v>0</v>
      </c>
      <c r="I235" s="289">
        <f t="shared" si="81"/>
        <v>0</v>
      </c>
    </row>
    <row r="236" spans="1:10" ht="165.75" x14ac:dyDescent="0.2">
      <c r="A236" s="1002"/>
      <c r="B236" s="475" t="s">
        <v>404</v>
      </c>
      <c r="C236" s="144" t="s">
        <v>403</v>
      </c>
      <c r="D236" s="886">
        <f>7430347.37+1547006.92</f>
        <v>8977354.2899999991</v>
      </c>
      <c r="E236" s="450">
        <f>'Проверочная  таблица'!FL37</f>
        <v>8977354.2899999972</v>
      </c>
      <c r="F236" s="450">
        <f>'Проверочная  таблица'!FO37</f>
        <v>4117407.35</v>
      </c>
      <c r="G236" s="285">
        <f t="shared" ref="G236" si="165">D236-E236</f>
        <v>0</v>
      </c>
      <c r="H236" s="289">
        <f t="shared" ref="H236:H242" si="166">IF(F236&gt;E236,1,0)</f>
        <v>0</v>
      </c>
      <c r="I236" s="289">
        <f t="shared" ref="I236:I242" si="167">IF(G236&lt;0,1,0)</f>
        <v>0</v>
      </c>
      <c r="J236" s="1523">
        <f>D236+D240</f>
        <v>179547054.28999999</v>
      </c>
    </row>
    <row r="237" spans="1:10" x14ac:dyDescent="0.2">
      <c r="A237" s="385"/>
      <c r="B237" s="386" t="s">
        <v>146</v>
      </c>
      <c r="C237" s="387"/>
      <c r="D237" s="389"/>
      <c r="E237" s="389"/>
      <c r="F237" s="389"/>
      <c r="G237" s="389">
        <f t="shared" si="164"/>
        <v>0</v>
      </c>
      <c r="H237" s="289">
        <f t="shared" si="166"/>
        <v>0</v>
      </c>
      <c r="I237" s="289">
        <f t="shared" si="167"/>
        <v>0</v>
      </c>
    </row>
    <row r="238" spans="1:10" x14ac:dyDescent="0.2">
      <c r="A238" s="385"/>
      <c r="B238" s="386" t="s">
        <v>147</v>
      </c>
      <c r="C238" s="387"/>
      <c r="D238" s="389"/>
      <c r="E238" s="389"/>
      <c r="F238" s="389"/>
      <c r="G238" s="389">
        <f t="shared" si="164"/>
        <v>0</v>
      </c>
      <c r="H238" s="289">
        <f t="shared" si="166"/>
        <v>0</v>
      </c>
      <c r="I238" s="289">
        <f t="shared" si="167"/>
        <v>0</v>
      </c>
    </row>
    <row r="239" spans="1:10" x14ac:dyDescent="0.2">
      <c r="A239" s="385"/>
      <c r="B239" s="386" t="s">
        <v>313</v>
      </c>
      <c r="C239" s="387"/>
      <c r="D239" s="389">
        <f>D236</f>
        <v>8977354.2899999991</v>
      </c>
      <c r="E239" s="389">
        <f t="shared" ref="E239:F239" si="168">E236</f>
        <v>8977354.2899999972</v>
      </c>
      <c r="F239" s="389">
        <f t="shared" si="168"/>
        <v>4117407.35</v>
      </c>
      <c r="G239" s="389">
        <f t="shared" si="164"/>
        <v>0</v>
      </c>
      <c r="H239" s="289">
        <f t="shared" si="166"/>
        <v>0</v>
      </c>
      <c r="I239" s="289">
        <f t="shared" si="167"/>
        <v>0</v>
      </c>
    </row>
    <row r="240" spans="1:10" x14ac:dyDescent="0.2">
      <c r="A240" s="692"/>
      <c r="B240" s="693" t="s">
        <v>58</v>
      </c>
      <c r="C240" s="681" t="s">
        <v>403</v>
      </c>
      <c r="D240" s="694">
        <f>141176600+29393100</f>
        <v>170569700</v>
      </c>
      <c r="E240" s="941">
        <f>'Проверочная  таблица'!FM37</f>
        <v>170569700</v>
      </c>
      <c r="F240" s="941">
        <f>'Проверочная  таблица'!FP37</f>
        <v>78230722.010000005</v>
      </c>
      <c r="G240" s="695">
        <f>D240-E240</f>
        <v>0</v>
      </c>
      <c r="H240" s="289">
        <f t="shared" si="166"/>
        <v>0</v>
      </c>
      <c r="I240" s="289">
        <f t="shared" si="167"/>
        <v>0</v>
      </c>
    </row>
    <row r="241" spans="1:10" x14ac:dyDescent="0.2">
      <c r="A241" s="692"/>
      <c r="B241" s="696" t="s">
        <v>146</v>
      </c>
      <c r="C241" s="697"/>
      <c r="D241" s="695"/>
      <c r="E241" s="695"/>
      <c r="F241" s="695"/>
      <c r="G241" s="695">
        <f t="shared" ref="G241:G243" si="169">D241-E241</f>
        <v>0</v>
      </c>
      <c r="H241" s="289">
        <f t="shared" si="166"/>
        <v>0</v>
      </c>
      <c r="I241" s="289">
        <f t="shared" si="167"/>
        <v>0</v>
      </c>
    </row>
    <row r="242" spans="1:10" x14ac:dyDescent="0.2">
      <c r="A242" s="692"/>
      <c r="B242" s="696" t="s">
        <v>147</v>
      </c>
      <c r="C242" s="697"/>
      <c r="D242" s="695"/>
      <c r="E242" s="695"/>
      <c r="F242" s="695"/>
      <c r="G242" s="695">
        <f t="shared" si="169"/>
        <v>0</v>
      </c>
      <c r="H242" s="289">
        <f t="shared" si="166"/>
        <v>0</v>
      </c>
      <c r="I242" s="289">
        <f t="shared" si="167"/>
        <v>0</v>
      </c>
    </row>
    <row r="243" spans="1:10" x14ac:dyDescent="0.2">
      <c r="A243" s="692"/>
      <c r="B243" s="696" t="s">
        <v>313</v>
      </c>
      <c r="C243" s="697"/>
      <c r="D243" s="695">
        <f>D240</f>
        <v>170569700</v>
      </c>
      <c r="E243" s="695">
        <f t="shared" ref="E243:F243" si="170">E240</f>
        <v>170569700</v>
      </c>
      <c r="F243" s="695">
        <f t="shared" si="170"/>
        <v>78230722.010000005</v>
      </c>
      <c r="G243" s="695">
        <f t="shared" si="169"/>
        <v>0</v>
      </c>
      <c r="H243" s="289">
        <f t="shared" ref="H243" si="171">IF(F243&gt;E243,1,0)</f>
        <v>0</v>
      </c>
      <c r="I243" s="289">
        <f t="shared" ref="I243" si="172">IF(G243&lt;0,1,0)</f>
        <v>0</v>
      </c>
    </row>
    <row r="244" spans="1:10" ht="165.75" x14ac:dyDescent="0.2">
      <c r="A244" s="195"/>
      <c r="B244" s="477" t="s">
        <v>221</v>
      </c>
      <c r="C244" s="144" t="s">
        <v>199</v>
      </c>
      <c r="D244" s="284">
        <v>11477630</v>
      </c>
      <c r="E244" s="450">
        <f>D244</f>
        <v>11477630</v>
      </c>
      <c r="F244" s="390">
        <v>5797035.6200000001</v>
      </c>
      <c r="G244" s="285">
        <f t="shared" si="164"/>
        <v>0</v>
      </c>
      <c r="H244" s="289">
        <f t="shared" ref="H244:H276" si="173">IF(F244&gt;E244,1,0)</f>
        <v>0</v>
      </c>
      <c r="I244" s="289">
        <f t="shared" si="81"/>
        <v>0</v>
      </c>
    </row>
    <row r="245" spans="1:10" x14ac:dyDescent="0.2">
      <c r="A245" s="385"/>
      <c r="B245" s="386" t="s">
        <v>146</v>
      </c>
      <c r="C245" s="387"/>
      <c r="D245" s="389">
        <f>D244-D246</f>
        <v>11477630</v>
      </c>
      <c r="E245" s="389">
        <f>E244-E246</f>
        <v>11477630</v>
      </c>
      <c r="F245" s="389">
        <f>F244-F246</f>
        <v>5797035.6200000001</v>
      </c>
      <c r="G245" s="389">
        <f t="shared" si="164"/>
        <v>0</v>
      </c>
      <c r="H245" s="289">
        <f t="shared" si="173"/>
        <v>0</v>
      </c>
      <c r="I245" s="289">
        <f t="shared" si="81"/>
        <v>0</v>
      </c>
    </row>
    <row r="246" spans="1:10" x14ac:dyDescent="0.2">
      <c r="A246" s="385"/>
      <c r="B246" s="386" t="s">
        <v>147</v>
      </c>
      <c r="C246" s="387"/>
      <c r="D246" s="388"/>
      <c r="E246" s="456">
        <f>D246</f>
        <v>0</v>
      </c>
      <c r="F246" s="388"/>
      <c r="G246" s="389">
        <f t="shared" si="164"/>
        <v>0</v>
      </c>
      <c r="H246" s="289">
        <f t="shared" si="173"/>
        <v>0</v>
      </c>
      <c r="I246" s="289">
        <f t="shared" si="81"/>
        <v>0</v>
      </c>
    </row>
    <row r="247" spans="1:10" x14ac:dyDescent="0.2">
      <c r="A247" s="195"/>
      <c r="B247" s="192"/>
      <c r="C247" s="191"/>
      <c r="D247" s="286"/>
      <c r="E247" s="189"/>
      <c r="F247" s="189"/>
      <c r="G247" s="285"/>
      <c r="H247" s="289">
        <f t="shared" si="173"/>
        <v>0</v>
      </c>
      <c r="I247" s="289">
        <f t="shared" si="81"/>
        <v>0</v>
      </c>
    </row>
    <row r="248" spans="1:10" x14ac:dyDescent="0.2">
      <c r="A248" s="187" t="s">
        <v>76</v>
      </c>
      <c r="B248" s="251" t="s">
        <v>113</v>
      </c>
      <c r="C248" s="193"/>
      <c r="D248" s="287">
        <f>D262+D297+D285+D271+D274+D289+D253+D256+D259+D277+D281+D293+D265+D268</f>
        <v>601704007.46000004</v>
      </c>
      <c r="E248" s="287">
        <f t="shared" ref="E248:G248" si="174">E262+E297+E285+E271+E274+E289+E253+E256+E259+E277+E281+E293+E265+E268</f>
        <v>601704007.45999992</v>
      </c>
      <c r="F248" s="287">
        <f t="shared" si="174"/>
        <v>402474852.26000005</v>
      </c>
      <c r="G248" s="287">
        <f t="shared" si="174"/>
        <v>0</v>
      </c>
      <c r="H248" s="289">
        <f t="shared" si="173"/>
        <v>0</v>
      </c>
      <c r="I248" s="289">
        <f t="shared" si="81"/>
        <v>0</v>
      </c>
    </row>
    <row r="249" spans="1:10" x14ac:dyDescent="0.2">
      <c r="A249" s="378"/>
      <c r="B249" s="379" t="s">
        <v>146</v>
      </c>
      <c r="C249" s="380"/>
      <c r="D249" s="505">
        <f>D254+D266+D269+D272+D275+D278+D282+D286+D290+D263+D294+D298</f>
        <v>135685707.47999999</v>
      </c>
      <c r="E249" s="505">
        <f t="shared" ref="E249:G249" si="175">E254+E266+E269+E272+E275+E278+E282+E286+E290+E263+E294+E298</f>
        <v>135685707.47999999</v>
      </c>
      <c r="F249" s="505">
        <f t="shared" si="175"/>
        <v>118937087.55000001</v>
      </c>
      <c r="G249" s="505">
        <f t="shared" si="175"/>
        <v>0</v>
      </c>
      <c r="H249" s="289">
        <f t="shared" si="173"/>
        <v>0</v>
      </c>
      <c r="I249" s="289">
        <f t="shared" si="81"/>
        <v>0</v>
      </c>
    </row>
    <row r="250" spans="1:10" x14ac:dyDescent="0.2">
      <c r="A250" s="378"/>
      <c r="B250" s="379" t="s">
        <v>147</v>
      </c>
      <c r="C250" s="380"/>
      <c r="D250" s="505">
        <f>D248-D249-D251</f>
        <v>76824224.00000006</v>
      </c>
      <c r="E250" s="505">
        <f t="shared" ref="E250:G250" si="176">E248-E249-E251</f>
        <v>76824223.99999994</v>
      </c>
      <c r="F250" s="505">
        <f t="shared" si="176"/>
        <v>18363237.890000045</v>
      </c>
      <c r="G250" s="505">
        <f t="shared" si="176"/>
        <v>0</v>
      </c>
      <c r="H250" s="289">
        <f t="shared" si="173"/>
        <v>0</v>
      </c>
      <c r="I250" s="289">
        <f t="shared" si="81"/>
        <v>0</v>
      </c>
    </row>
    <row r="251" spans="1:10" x14ac:dyDescent="0.2">
      <c r="A251" s="378"/>
      <c r="B251" s="379" t="s">
        <v>313</v>
      </c>
      <c r="C251" s="380"/>
      <c r="D251" s="505">
        <f>D280+D284+D288+D292+D296</f>
        <v>389194075.97999996</v>
      </c>
      <c r="E251" s="505">
        <f t="shared" ref="E251:G251" si="177">E280+E284+E288+E292+E296</f>
        <v>389194075.97999996</v>
      </c>
      <c r="F251" s="505">
        <f t="shared" si="177"/>
        <v>265174526.81999999</v>
      </c>
      <c r="G251" s="505">
        <f t="shared" si="177"/>
        <v>0</v>
      </c>
      <c r="H251" s="289">
        <f t="shared" si="173"/>
        <v>0</v>
      </c>
      <c r="I251" s="289">
        <f t="shared" si="81"/>
        <v>0</v>
      </c>
    </row>
    <row r="252" spans="1:10" x14ac:dyDescent="0.2">
      <c r="A252" s="195"/>
      <c r="B252" s="476" t="s">
        <v>38</v>
      </c>
      <c r="C252" s="191"/>
      <c r="D252" s="286"/>
      <c r="E252" s="189"/>
      <c r="F252" s="189"/>
      <c r="G252" s="285"/>
      <c r="H252" s="289">
        <f t="shared" si="173"/>
        <v>0</v>
      </c>
      <c r="I252" s="289">
        <f t="shared" si="81"/>
        <v>0</v>
      </c>
    </row>
    <row r="253" spans="1:10" ht="242.25" x14ac:dyDescent="0.2">
      <c r="A253" s="195"/>
      <c r="B253" s="475" t="s">
        <v>302</v>
      </c>
      <c r="C253" s="144" t="s">
        <v>301</v>
      </c>
      <c r="D253" s="284">
        <v>10618444.439999999</v>
      </c>
      <c r="E253" s="201">
        <f>'Проверочная  таблица'!DR37</f>
        <v>10618444.439999999</v>
      </c>
      <c r="F253" s="201">
        <f>'Проверочная  таблица'!DY37</f>
        <v>6962214.1699999999</v>
      </c>
      <c r="G253" s="285">
        <f>D253-E253</f>
        <v>0</v>
      </c>
      <c r="H253" s="289">
        <f>IF(F253&gt;E253,1,0)</f>
        <v>0</v>
      </c>
      <c r="I253" s="289">
        <f>IF(G253&lt;0,1,0)</f>
        <v>0</v>
      </c>
    </row>
    <row r="254" spans="1:10" x14ac:dyDescent="0.2">
      <c r="A254" s="385"/>
      <c r="B254" s="386" t="s">
        <v>146</v>
      </c>
      <c r="C254" s="387"/>
      <c r="D254" s="389">
        <f>D253</f>
        <v>10618444.439999999</v>
      </c>
      <c r="E254" s="389">
        <f>E253</f>
        <v>10618444.439999999</v>
      </c>
      <c r="F254" s="389">
        <f>F253</f>
        <v>6962214.1699999999</v>
      </c>
      <c r="G254" s="389">
        <f>D254-E254</f>
        <v>0</v>
      </c>
      <c r="H254" s="289">
        <f>IF(F254&gt;E254,1,0)</f>
        <v>0</v>
      </c>
      <c r="I254" s="289">
        <f>IF(G254&lt;0,1,0)</f>
        <v>0</v>
      </c>
    </row>
    <row r="255" spans="1:10" x14ac:dyDescent="0.2">
      <c r="A255" s="385"/>
      <c r="B255" s="386" t="s">
        <v>147</v>
      </c>
      <c r="C255" s="387"/>
      <c r="D255" s="389"/>
      <c r="E255" s="389"/>
      <c r="F255" s="389"/>
      <c r="G255" s="389">
        <f>D255-E255</f>
        <v>0</v>
      </c>
      <c r="H255" s="289">
        <f>IF(F255&gt;E255,1,0)</f>
        <v>0</v>
      </c>
      <c r="I255" s="289">
        <f>IF(G255&lt;0,1,0)</f>
        <v>0</v>
      </c>
    </row>
    <row r="256" spans="1:10" ht="293.25" hidden="1" x14ac:dyDescent="0.2">
      <c r="A256" s="1139"/>
      <c r="B256" s="475" t="s">
        <v>323</v>
      </c>
      <c r="C256" s="144" t="s">
        <v>322</v>
      </c>
      <c r="D256" s="284"/>
      <c r="E256" s="201">
        <f>'Проверочная  таблица'!DS37</f>
        <v>0</v>
      </c>
      <c r="F256" s="201">
        <f>'Проверочная  таблица'!DZ37</f>
        <v>0</v>
      </c>
      <c r="G256" s="285">
        <f t="shared" ref="G256:G259" si="178">D256-E256</f>
        <v>0</v>
      </c>
      <c r="H256" s="289">
        <f t="shared" ref="H256:H261" si="179">IF(F256&gt;E256,1,0)</f>
        <v>0</v>
      </c>
      <c r="I256" s="289">
        <f t="shared" ref="I256:I261" si="180">IF(G256&lt;0,1,0)</f>
        <v>0</v>
      </c>
      <c r="J256" s="1523">
        <f>D256+D259</f>
        <v>0</v>
      </c>
    </row>
    <row r="257" spans="1:10" hidden="1" x14ac:dyDescent="0.2">
      <c r="A257" s="385"/>
      <c r="B257" s="386" t="s">
        <v>146</v>
      </c>
      <c r="C257" s="387"/>
      <c r="D257" s="389">
        <f>D256</f>
        <v>0</v>
      </c>
      <c r="E257" s="389">
        <f>E256</f>
        <v>0</v>
      </c>
      <c r="F257" s="389">
        <f>F256</f>
        <v>0</v>
      </c>
      <c r="G257" s="389">
        <f t="shared" si="178"/>
        <v>0</v>
      </c>
      <c r="H257" s="289">
        <f t="shared" si="179"/>
        <v>0</v>
      </c>
      <c r="I257" s="289">
        <f t="shared" si="180"/>
        <v>0</v>
      </c>
    </row>
    <row r="258" spans="1:10" hidden="1" x14ac:dyDescent="0.2">
      <c r="A258" s="385"/>
      <c r="B258" s="386" t="s">
        <v>147</v>
      </c>
      <c r="C258" s="387"/>
      <c r="D258" s="389"/>
      <c r="E258" s="389"/>
      <c r="F258" s="389"/>
      <c r="G258" s="389">
        <f t="shared" si="178"/>
        <v>0</v>
      </c>
      <c r="H258" s="289">
        <f t="shared" si="179"/>
        <v>0</v>
      </c>
      <c r="I258" s="289">
        <f t="shared" si="180"/>
        <v>0</v>
      </c>
    </row>
    <row r="259" spans="1:10" hidden="1" x14ac:dyDescent="0.2">
      <c r="A259" s="692"/>
      <c r="B259" s="693" t="s">
        <v>58</v>
      </c>
      <c r="C259" s="681" t="s">
        <v>322</v>
      </c>
      <c r="D259" s="694"/>
      <c r="E259" s="691">
        <f>'Проверочная  таблица'!DT37</f>
        <v>0</v>
      </c>
      <c r="F259" s="691">
        <f>'Проверочная  таблица'!EA37</f>
        <v>0</v>
      </c>
      <c r="G259" s="695">
        <f t="shared" si="178"/>
        <v>0</v>
      </c>
      <c r="H259" s="289">
        <f t="shared" si="179"/>
        <v>0</v>
      </c>
      <c r="I259" s="289">
        <f t="shared" si="180"/>
        <v>0</v>
      </c>
    </row>
    <row r="260" spans="1:10" hidden="1" x14ac:dyDescent="0.2">
      <c r="A260" s="692"/>
      <c r="B260" s="696" t="s">
        <v>146</v>
      </c>
      <c r="C260" s="697"/>
      <c r="D260" s="695">
        <f>D259</f>
        <v>0</v>
      </c>
      <c r="E260" s="695">
        <f>E259</f>
        <v>0</v>
      </c>
      <c r="F260" s="695">
        <f>F259</f>
        <v>0</v>
      </c>
      <c r="G260" s="695">
        <f>D260-E260</f>
        <v>0</v>
      </c>
      <c r="H260" s="289">
        <f t="shared" si="179"/>
        <v>0</v>
      </c>
      <c r="I260" s="289">
        <f t="shared" si="180"/>
        <v>0</v>
      </c>
    </row>
    <row r="261" spans="1:10" hidden="1" x14ac:dyDescent="0.2">
      <c r="A261" s="692"/>
      <c r="B261" s="696" t="s">
        <v>147</v>
      </c>
      <c r="C261" s="697"/>
      <c r="D261" s="695"/>
      <c r="E261" s="695"/>
      <c r="F261" s="695"/>
      <c r="G261" s="695">
        <f>D261-E261</f>
        <v>0</v>
      </c>
      <c r="H261" s="289">
        <f t="shared" si="179"/>
        <v>0</v>
      </c>
      <c r="I261" s="289">
        <f t="shared" si="180"/>
        <v>0</v>
      </c>
    </row>
    <row r="262" spans="1:10" ht="114.75" x14ac:dyDescent="0.2">
      <c r="A262" s="249"/>
      <c r="B262" s="475" t="s">
        <v>222</v>
      </c>
      <c r="C262" s="144" t="s">
        <v>203</v>
      </c>
      <c r="D262" s="284">
        <v>57942944.340000004</v>
      </c>
      <c r="E262" s="201">
        <f>'Прочая  субсидия_МР  и  ГО'!H33</f>
        <v>57942944.339999996</v>
      </c>
      <c r="F262" s="201">
        <f>'Прочая  субсидия_МР  и  ГО'!I33</f>
        <v>54070769.309999995</v>
      </c>
      <c r="G262" s="285">
        <f t="shared" ref="G262:G288" si="181">D262-E262</f>
        <v>0</v>
      </c>
      <c r="H262" s="289">
        <f t="shared" si="173"/>
        <v>0</v>
      </c>
      <c r="I262" s="289">
        <f t="shared" si="81"/>
        <v>0</v>
      </c>
    </row>
    <row r="263" spans="1:10" x14ac:dyDescent="0.2">
      <c r="A263" s="385"/>
      <c r="B263" s="386" t="s">
        <v>146</v>
      </c>
      <c r="C263" s="387"/>
      <c r="D263" s="389">
        <f>D262</f>
        <v>57942944.340000004</v>
      </c>
      <c r="E263" s="389">
        <f>E262</f>
        <v>57942944.339999996</v>
      </c>
      <c r="F263" s="389">
        <f>F262</f>
        <v>54070769.309999995</v>
      </c>
      <c r="G263" s="389">
        <f t="shared" si="181"/>
        <v>0</v>
      </c>
      <c r="H263" s="289">
        <f t="shared" si="173"/>
        <v>0</v>
      </c>
      <c r="I263" s="289">
        <f t="shared" si="81"/>
        <v>0</v>
      </c>
    </row>
    <row r="264" spans="1:10" x14ac:dyDescent="0.2">
      <c r="A264" s="385"/>
      <c r="B264" s="386" t="s">
        <v>147</v>
      </c>
      <c r="C264" s="387"/>
      <c r="D264" s="389"/>
      <c r="E264" s="389"/>
      <c r="F264" s="389"/>
      <c r="G264" s="389">
        <f t="shared" si="181"/>
        <v>0</v>
      </c>
      <c r="H264" s="289">
        <f t="shared" si="173"/>
        <v>0</v>
      </c>
      <c r="I264" s="289">
        <f t="shared" si="81"/>
        <v>0</v>
      </c>
    </row>
    <row r="265" spans="1:10" ht="140.25" x14ac:dyDescent="0.2">
      <c r="A265" s="1249"/>
      <c r="B265" s="475" t="s">
        <v>703</v>
      </c>
      <c r="C265" s="144" t="s">
        <v>704</v>
      </c>
      <c r="D265" s="284">
        <v>4103127.78</v>
      </c>
      <c r="E265" s="201">
        <f>'Проверочная  таблица'!GH37</f>
        <v>4103127.7799999993</v>
      </c>
      <c r="F265" s="201">
        <f>'Проверочная  таблица'!GK37</f>
        <v>3125413.870000001</v>
      </c>
      <c r="G265" s="285">
        <f t="shared" ref="G265:G268" si="182">D265-E265</f>
        <v>0</v>
      </c>
      <c r="H265" s="289">
        <f t="shared" ref="H265:H270" si="183">IF(F265&gt;E265,1,0)</f>
        <v>0</v>
      </c>
      <c r="I265" s="289">
        <f t="shared" ref="I265:I270" si="184">IF(G265&lt;0,1,0)</f>
        <v>0</v>
      </c>
      <c r="J265" s="1523">
        <f>D265+D268</f>
        <v>14654027.779999999</v>
      </c>
    </row>
    <row r="266" spans="1:10" x14ac:dyDescent="0.2">
      <c r="A266" s="385"/>
      <c r="B266" s="386" t="s">
        <v>146</v>
      </c>
      <c r="C266" s="387"/>
      <c r="D266" s="389">
        <f>D265</f>
        <v>4103127.78</v>
      </c>
      <c r="E266" s="389">
        <f>E265</f>
        <v>4103127.7799999993</v>
      </c>
      <c r="F266" s="389">
        <f>F265</f>
        <v>3125413.870000001</v>
      </c>
      <c r="G266" s="389">
        <f t="shared" si="182"/>
        <v>0</v>
      </c>
      <c r="H266" s="289">
        <f t="shared" si="183"/>
        <v>0</v>
      </c>
      <c r="I266" s="289">
        <f t="shared" si="184"/>
        <v>0</v>
      </c>
    </row>
    <row r="267" spans="1:10" x14ac:dyDescent="0.2">
      <c r="A267" s="385"/>
      <c r="B267" s="386" t="s">
        <v>147</v>
      </c>
      <c r="C267" s="387"/>
      <c r="D267" s="389"/>
      <c r="E267" s="389"/>
      <c r="F267" s="389"/>
      <c r="G267" s="389">
        <f t="shared" si="182"/>
        <v>0</v>
      </c>
      <c r="H267" s="289">
        <f t="shared" si="183"/>
        <v>0</v>
      </c>
      <c r="I267" s="289">
        <f t="shared" si="184"/>
        <v>0</v>
      </c>
    </row>
    <row r="268" spans="1:10" x14ac:dyDescent="0.2">
      <c r="A268" s="692"/>
      <c r="B268" s="693" t="s">
        <v>58</v>
      </c>
      <c r="C268" s="681" t="s">
        <v>704</v>
      </c>
      <c r="D268" s="694">
        <v>10550900</v>
      </c>
      <c r="E268" s="691">
        <f>'Проверочная  таблица'!GI37</f>
        <v>10550900</v>
      </c>
      <c r="F268" s="691">
        <f>'Проверочная  таблица'!GL37</f>
        <v>8036778.5099999998</v>
      </c>
      <c r="G268" s="695">
        <f t="shared" si="182"/>
        <v>0</v>
      </c>
      <c r="H268" s="289">
        <f t="shared" si="183"/>
        <v>0</v>
      </c>
      <c r="I268" s="289">
        <f t="shared" si="184"/>
        <v>0</v>
      </c>
      <c r="J268" s="1523"/>
    </row>
    <row r="269" spans="1:10" x14ac:dyDescent="0.2">
      <c r="A269" s="692"/>
      <c r="B269" s="696" t="s">
        <v>146</v>
      </c>
      <c r="C269" s="697"/>
      <c r="D269" s="695">
        <f>D268</f>
        <v>10550900</v>
      </c>
      <c r="E269" s="695">
        <f>E268</f>
        <v>10550900</v>
      </c>
      <c r="F269" s="695">
        <f>F268</f>
        <v>8036778.5099999998</v>
      </c>
      <c r="G269" s="695">
        <f>D269-E269</f>
        <v>0</v>
      </c>
      <c r="H269" s="289">
        <f t="shared" si="183"/>
        <v>0</v>
      </c>
      <c r="I269" s="289">
        <f t="shared" si="184"/>
        <v>0</v>
      </c>
    </row>
    <row r="270" spans="1:10" x14ac:dyDescent="0.2">
      <c r="A270" s="692"/>
      <c r="B270" s="696" t="s">
        <v>147</v>
      </c>
      <c r="C270" s="697"/>
      <c r="D270" s="695"/>
      <c r="E270" s="695"/>
      <c r="F270" s="695"/>
      <c r="G270" s="695">
        <f>D270-E270</f>
        <v>0</v>
      </c>
      <c r="H270" s="289">
        <f t="shared" si="183"/>
        <v>0</v>
      </c>
      <c r="I270" s="289">
        <f t="shared" si="184"/>
        <v>0</v>
      </c>
    </row>
    <row r="271" spans="1:10" ht="127.5" x14ac:dyDescent="0.2">
      <c r="A271" s="195"/>
      <c r="B271" s="475" t="s">
        <v>612</v>
      </c>
      <c r="C271" s="144" t="s">
        <v>399</v>
      </c>
      <c r="D271" s="284">
        <v>282706</v>
      </c>
      <c r="E271" s="201">
        <f>'Проверочная  таблица'!EF37</f>
        <v>282706</v>
      </c>
      <c r="F271" s="201">
        <f>'Проверочная  таблица'!EI37</f>
        <v>141353.01</v>
      </c>
      <c r="G271" s="285">
        <f t="shared" si="181"/>
        <v>0</v>
      </c>
      <c r="H271" s="289">
        <f t="shared" si="173"/>
        <v>0</v>
      </c>
      <c r="I271" s="289">
        <f t="shared" si="81"/>
        <v>0</v>
      </c>
      <c r="J271" s="1523">
        <f>D271+D274</f>
        <v>5654106</v>
      </c>
    </row>
    <row r="272" spans="1:10" x14ac:dyDescent="0.2">
      <c r="A272" s="385"/>
      <c r="B272" s="386" t="s">
        <v>146</v>
      </c>
      <c r="C272" s="387"/>
      <c r="D272" s="389">
        <f>D271</f>
        <v>282706</v>
      </c>
      <c r="E272" s="389">
        <f>E271</f>
        <v>282706</v>
      </c>
      <c r="F272" s="389">
        <f>F271</f>
        <v>141353.01</v>
      </c>
      <c r="G272" s="389">
        <f t="shared" si="181"/>
        <v>0</v>
      </c>
      <c r="H272" s="289">
        <f t="shared" si="173"/>
        <v>0</v>
      </c>
      <c r="I272" s="289">
        <f t="shared" si="81"/>
        <v>0</v>
      </c>
      <c r="J272" s="1310">
        <f>J271-5654106</f>
        <v>0</v>
      </c>
    </row>
    <row r="273" spans="1:10" x14ac:dyDescent="0.2">
      <c r="A273" s="385"/>
      <c r="B273" s="386" t="s">
        <v>147</v>
      </c>
      <c r="C273" s="387"/>
      <c r="D273" s="389"/>
      <c r="E273" s="389"/>
      <c r="F273" s="389"/>
      <c r="G273" s="389">
        <f t="shared" si="181"/>
        <v>0</v>
      </c>
      <c r="H273" s="289">
        <f t="shared" si="173"/>
        <v>0</v>
      </c>
      <c r="I273" s="289">
        <f t="shared" si="81"/>
        <v>0</v>
      </c>
    </row>
    <row r="274" spans="1:10" x14ac:dyDescent="0.2">
      <c r="A274" s="692"/>
      <c r="B274" s="693" t="s">
        <v>58</v>
      </c>
      <c r="C274" s="681" t="s">
        <v>399</v>
      </c>
      <c r="D274" s="694">
        <v>5371400</v>
      </c>
      <c r="E274" s="691">
        <f>'Проверочная  таблица'!EG37</f>
        <v>5371400</v>
      </c>
      <c r="F274" s="691">
        <f>'Проверочная  таблица'!EJ37</f>
        <v>2685699.99</v>
      </c>
      <c r="G274" s="695">
        <f t="shared" si="181"/>
        <v>0</v>
      </c>
      <c r="H274" s="289">
        <f t="shared" si="173"/>
        <v>0</v>
      </c>
      <c r="I274" s="289">
        <f t="shared" si="81"/>
        <v>0</v>
      </c>
    </row>
    <row r="275" spans="1:10" x14ac:dyDescent="0.2">
      <c r="A275" s="692"/>
      <c r="B275" s="696" t="s">
        <v>146</v>
      </c>
      <c r="C275" s="697"/>
      <c r="D275" s="695">
        <f>D274</f>
        <v>5371400</v>
      </c>
      <c r="E275" s="695">
        <f>E274</f>
        <v>5371400</v>
      </c>
      <c r="F275" s="695">
        <f>F274</f>
        <v>2685699.99</v>
      </c>
      <c r="G275" s="695">
        <f>D275-E275</f>
        <v>0</v>
      </c>
      <c r="H275" s="289">
        <f t="shared" si="173"/>
        <v>0</v>
      </c>
      <c r="I275" s="289">
        <f t="shared" si="81"/>
        <v>0</v>
      </c>
    </row>
    <row r="276" spans="1:10" x14ac:dyDescent="0.2">
      <c r="A276" s="692"/>
      <c r="B276" s="696" t="s">
        <v>147</v>
      </c>
      <c r="C276" s="697"/>
      <c r="D276" s="695"/>
      <c r="E276" s="695"/>
      <c r="F276" s="695"/>
      <c r="G276" s="695">
        <f>D276-E276</f>
        <v>0</v>
      </c>
      <c r="H276" s="289">
        <f t="shared" si="173"/>
        <v>0</v>
      </c>
      <c r="I276" s="289">
        <f t="shared" si="81"/>
        <v>0</v>
      </c>
    </row>
    <row r="277" spans="1:10" ht="102" x14ac:dyDescent="0.2">
      <c r="A277" s="249"/>
      <c r="B277" s="475" t="s">
        <v>443</v>
      </c>
      <c r="C277" s="144" t="s">
        <v>439</v>
      </c>
      <c r="D277" s="284">
        <v>2349775.98</v>
      </c>
      <c r="E277" s="201">
        <f>'Проверочная  таблица'!FF37</f>
        <v>2349775.98</v>
      </c>
      <c r="F277" s="201">
        <f>'Проверочная  таблица'!FI37</f>
        <v>2349775.98</v>
      </c>
      <c r="G277" s="285">
        <f t="shared" ref="G277:G280" si="185">D277-E277</f>
        <v>0</v>
      </c>
      <c r="H277" s="289">
        <f>IF(F277&gt;E277,1,0)</f>
        <v>0</v>
      </c>
      <c r="I277" s="289">
        <f>IF(G277&lt;0,1,0)</f>
        <v>0</v>
      </c>
      <c r="J277" s="1523">
        <f>D277+D281</f>
        <v>46995475.979999997</v>
      </c>
    </row>
    <row r="278" spans="1:10" x14ac:dyDescent="0.2">
      <c r="A278" s="385"/>
      <c r="B278" s="386" t="s">
        <v>146</v>
      </c>
      <c r="C278" s="387"/>
      <c r="D278" s="389"/>
      <c r="E278" s="389"/>
      <c r="F278" s="389"/>
      <c r="G278" s="389">
        <f t="shared" si="185"/>
        <v>0</v>
      </c>
      <c r="H278" s="289">
        <f>IF(F278&gt;E278,1,0)</f>
        <v>0</v>
      </c>
      <c r="I278" s="289">
        <f>IF(G278&lt;0,1,0)</f>
        <v>0</v>
      </c>
    </row>
    <row r="279" spans="1:10" x14ac:dyDescent="0.2">
      <c r="A279" s="385"/>
      <c r="B279" s="386" t="s">
        <v>147</v>
      </c>
      <c r="C279" s="387"/>
      <c r="D279" s="389"/>
      <c r="E279" s="389"/>
      <c r="F279" s="389"/>
      <c r="G279" s="389">
        <f t="shared" si="185"/>
        <v>0</v>
      </c>
      <c r="H279" s="289">
        <f>IF(F279&gt;E279,1,0)</f>
        <v>0</v>
      </c>
      <c r="I279" s="289">
        <f>IF(G279&lt;0,1,0)</f>
        <v>0</v>
      </c>
    </row>
    <row r="280" spans="1:10" x14ac:dyDescent="0.2">
      <c r="A280" s="385"/>
      <c r="B280" s="386" t="s">
        <v>313</v>
      </c>
      <c r="C280" s="387"/>
      <c r="D280" s="389">
        <f>D277-D278-D279</f>
        <v>2349775.98</v>
      </c>
      <c r="E280" s="389">
        <f t="shared" ref="E280:F280" si="186">E277-E278-E279</f>
        <v>2349775.98</v>
      </c>
      <c r="F280" s="389">
        <f t="shared" si="186"/>
        <v>2349775.98</v>
      </c>
      <c r="G280" s="389">
        <f t="shared" si="185"/>
        <v>0</v>
      </c>
      <c r="H280" s="289"/>
      <c r="I280" s="289"/>
    </row>
    <row r="281" spans="1:10" x14ac:dyDescent="0.2">
      <c r="A281" s="692"/>
      <c r="B281" s="693" t="s">
        <v>58</v>
      </c>
      <c r="C281" s="681" t="s">
        <v>439</v>
      </c>
      <c r="D281" s="885">
        <v>44645700</v>
      </c>
      <c r="E281" s="691">
        <f>'Проверочная  таблица'!FG37</f>
        <v>44645700</v>
      </c>
      <c r="F281" s="691">
        <f>'Проверочная  таблица'!FJ37</f>
        <v>44645700</v>
      </c>
      <c r="G281" s="695">
        <f>D281-E281</f>
        <v>0</v>
      </c>
      <c r="H281" s="289">
        <f t="shared" ref="H281:H283" si="187">IF(F281&gt;E281,1,0)</f>
        <v>0</v>
      </c>
      <c r="I281" s="289">
        <f>IF(G281&lt;0,1,0)</f>
        <v>0</v>
      </c>
    </row>
    <row r="282" spans="1:10" x14ac:dyDescent="0.2">
      <c r="A282" s="692"/>
      <c r="B282" s="696" t="s">
        <v>146</v>
      </c>
      <c r="C282" s="697"/>
      <c r="D282" s="695"/>
      <c r="E282" s="695"/>
      <c r="F282" s="695"/>
      <c r="G282" s="695">
        <f>D282-E282</f>
        <v>0</v>
      </c>
      <c r="H282" s="289">
        <f t="shared" si="187"/>
        <v>0</v>
      </c>
      <c r="I282" s="289">
        <f>IF(G282&lt;0,1,0)</f>
        <v>0</v>
      </c>
    </row>
    <row r="283" spans="1:10" x14ac:dyDescent="0.2">
      <c r="A283" s="692"/>
      <c r="B283" s="696" t="s">
        <v>147</v>
      </c>
      <c r="C283" s="697"/>
      <c r="D283" s="695"/>
      <c r="E283" s="695"/>
      <c r="F283" s="695"/>
      <c r="G283" s="695">
        <f>D283-E283</f>
        <v>0</v>
      </c>
      <c r="H283" s="289">
        <f t="shared" si="187"/>
        <v>0</v>
      </c>
      <c r="I283" s="289">
        <f>IF(G283&lt;0,1,0)</f>
        <v>0</v>
      </c>
    </row>
    <row r="284" spans="1:10" x14ac:dyDescent="0.2">
      <c r="A284" s="692"/>
      <c r="B284" s="696" t="s">
        <v>313</v>
      </c>
      <c r="C284" s="697"/>
      <c r="D284" s="695">
        <f>D281-D282-D283</f>
        <v>44645700</v>
      </c>
      <c r="E284" s="695">
        <f t="shared" ref="E284:F284" si="188">E281-E282-E283</f>
        <v>44645700</v>
      </c>
      <c r="F284" s="695">
        <f t="shared" si="188"/>
        <v>44645700</v>
      </c>
      <c r="G284" s="695">
        <f>D284-E284</f>
        <v>0</v>
      </c>
      <c r="H284" s="289"/>
      <c r="I284" s="289"/>
    </row>
    <row r="285" spans="1:10" ht="89.25" x14ac:dyDescent="0.2">
      <c r="A285" s="195"/>
      <c r="B285" s="475" t="s">
        <v>398</v>
      </c>
      <c r="C285" s="144" t="s">
        <v>396</v>
      </c>
      <c r="D285" s="284">
        <v>74109466.670000002</v>
      </c>
      <c r="E285" s="201">
        <f>'Проверочная  таблица'!KP37</f>
        <v>74109466.669999987</v>
      </c>
      <c r="F285" s="201">
        <f>'Проверочная  таблица'!KT37</f>
        <v>58656620.820000023</v>
      </c>
      <c r="G285" s="285">
        <f t="shared" si="181"/>
        <v>0</v>
      </c>
      <c r="H285" s="289">
        <f t="shared" ref="H285:H291" si="189">IF(F285&gt;E285,1,0)</f>
        <v>0</v>
      </c>
      <c r="I285" s="289">
        <f t="shared" si="81"/>
        <v>0</v>
      </c>
      <c r="J285" s="1523">
        <f>D285+D289</f>
        <v>264676666.67000002</v>
      </c>
    </row>
    <row r="286" spans="1:10" x14ac:dyDescent="0.2">
      <c r="A286" s="385"/>
      <c r="B286" s="386" t="s">
        <v>146</v>
      </c>
      <c r="C286" s="387"/>
      <c r="D286" s="389"/>
      <c r="E286" s="389"/>
      <c r="F286" s="389"/>
      <c r="G286" s="389">
        <f t="shared" si="181"/>
        <v>0</v>
      </c>
      <c r="H286" s="289">
        <f t="shared" si="189"/>
        <v>0</v>
      </c>
      <c r="I286" s="289">
        <f t="shared" si="81"/>
        <v>0</v>
      </c>
    </row>
    <row r="287" spans="1:10" x14ac:dyDescent="0.2">
      <c r="A287" s="385"/>
      <c r="B287" s="386" t="s">
        <v>147</v>
      </c>
      <c r="C287" s="387"/>
      <c r="D287" s="389"/>
      <c r="E287" s="389"/>
      <c r="F287" s="389"/>
      <c r="G287" s="389">
        <f t="shared" si="181"/>
        <v>0</v>
      </c>
      <c r="H287" s="289">
        <f t="shared" si="189"/>
        <v>0</v>
      </c>
      <c r="I287" s="289">
        <f t="shared" si="81"/>
        <v>0</v>
      </c>
    </row>
    <row r="288" spans="1:10" x14ac:dyDescent="0.2">
      <c r="A288" s="385"/>
      <c r="B288" s="386" t="s">
        <v>313</v>
      </c>
      <c r="C288" s="387"/>
      <c r="D288" s="389">
        <f>D285-D286-D287</f>
        <v>74109466.670000002</v>
      </c>
      <c r="E288" s="389">
        <f t="shared" ref="E288:F288" si="190">E285-E286-E287</f>
        <v>74109466.669999987</v>
      </c>
      <c r="F288" s="389">
        <f t="shared" si="190"/>
        <v>58656620.820000023</v>
      </c>
      <c r="G288" s="389">
        <f t="shared" si="181"/>
        <v>0</v>
      </c>
      <c r="H288" s="289"/>
      <c r="I288" s="289"/>
    </row>
    <row r="289" spans="1:10" x14ac:dyDescent="0.2">
      <c r="A289" s="692"/>
      <c r="B289" s="693" t="s">
        <v>58</v>
      </c>
      <c r="C289" s="681" t="s">
        <v>396</v>
      </c>
      <c r="D289" s="885">
        <v>190567200</v>
      </c>
      <c r="E289" s="691">
        <f>'Проверочная  таблица'!KQ37</f>
        <v>190567200</v>
      </c>
      <c r="F289" s="691">
        <f>'Проверочная  таблица'!KU37</f>
        <v>150831310.75999999</v>
      </c>
      <c r="G289" s="695">
        <f>D289-E289</f>
        <v>0</v>
      </c>
      <c r="H289" s="289">
        <f t="shared" si="189"/>
        <v>0</v>
      </c>
      <c r="I289" s="289">
        <f>IF(G289&lt;0,1,0)</f>
        <v>0</v>
      </c>
    </row>
    <row r="290" spans="1:10" x14ac:dyDescent="0.2">
      <c r="A290" s="692"/>
      <c r="B290" s="696" t="s">
        <v>146</v>
      </c>
      <c r="C290" s="697"/>
      <c r="D290" s="695"/>
      <c r="E290" s="695"/>
      <c r="F290" s="695"/>
      <c r="G290" s="695">
        <f>D290-E290</f>
        <v>0</v>
      </c>
      <c r="H290" s="289">
        <f t="shared" si="189"/>
        <v>0</v>
      </c>
      <c r="I290" s="289">
        <f>IF(G290&lt;0,1,0)</f>
        <v>0</v>
      </c>
    </row>
    <row r="291" spans="1:10" x14ac:dyDescent="0.2">
      <c r="A291" s="692"/>
      <c r="B291" s="696" t="s">
        <v>147</v>
      </c>
      <c r="C291" s="697"/>
      <c r="D291" s="695"/>
      <c r="E291" s="695"/>
      <c r="F291" s="695"/>
      <c r="G291" s="695">
        <f>D291-E291</f>
        <v>0</v>
      </c>
      <c r="H291" s="289">
        <f t="shared" si="189"/>
        <v>0</v>
      </c>
      <c r="I291" s="289">
        <f>IF(G291&lt;0,1,0)</f>
        <v>0</v>
      </c>
    </row>
    <row r="292" spans="1:10" x14ac:dyDescent="0.2">
      <c r="A292" s="692"/>
      <c r="B292" s="696" t="s">
        <v>313</v>
      </c>
      <c r="C292" s="697"/>
      <c r="D292" s="695">
        <f>D289-D290-D291</f>
        <v>190567200</v>
      </c>
      <c r="E292" s="695">
        <f t="shared" ref="E292:F292" si="191">E289-E290-E291</f>
        <v>190567200</v>
      </c>
      <c r="F292" s="695">
        <f t="shared" si="191"/>
        <v>150831310.75999999</v>
      </c>
      <c r="G292" s="695">
        <f>D292-E292</f>
        <v>0</v>
      </c>
      <c r="H292" s="289"/>
      <c r="I292" s="289"/>
    </row>
    <row r="293" spans="1:10" ht="140.25" x14ac:dyDescent="0.2">
      <c r="A293" s="249"/>
      <c r="B293" s="477" t="s">
        <v>706</v>
      </c>
      <c r="C293" s="144" t="s">
        <v>705</v>
      </c>
      <c r="D293" s="284">
        <v>77521933.329999998</v>
      </c>
      <c r="E293" s="496">
        <f>'Проверочная  таблица'!KR37</f>
        <v>77521933.329999998</v>
      </c>
      <c r="F293" s="496">
        <f>'Проверочная  таблица'!KV37</f>
        <v>8691119.2599999998</v>
      </c>
      <c r="G293" s="285">
        <f>D293-E293</f>
        <v>0</v>
      </c>
      <c r="H293" s="289">
        <f t="shared" ref="H293" si="192">IF(F293&gt;E293,1,0)</f>
        <v>0</v>
      </c>
      <c r="I293" s="289">
        <f t="shared" ref="I293" si="193">IF(G293&lt;0,1,0)</f>
        <v>0</v>
      </c>
    </row>
    <row r="294" spans="1:10" x14ac:dyDescent="0.2">
      <c r="A294" s="385"/>
      <c r="B294" s="386" t="s">
        <v>146</v>
      </c>
      <c r="C294" s="387"/>
      <c r="D294" s="389"/>
      <c r="E294" s="389"/>
      <c r="F294" s="389"/>
      <c r="G294" s="389"/>
      <c r="H294" s="289">
        <f t="shared" ref="H294:H296" si="194">IF(F294&gt;E294,1,0)</f>
        <v>0</v>
      </c>
      <c r="I294" s="289">
        <f t="shared" ref="I294:I296" si="195">IF(G294&lt;0,1,0)</f>
        <v>0</v>
      </c>
    </row>
    <row r="295" spans="1:10" x14ac:dyDescent="0.2">
      <c r="A295" s="385"/>
      <c r="B295" s="386" t="s">
        <v>521</v>
      </c>
      <c r="C295" s="387"/>
      <c r="D295" s="389"/>
      <c r="E295" s="389"/>
      <c r="F295" s="389"/>
      <c r="G295" s="389"/>
      <c r="H295" s="289">
        <f t="shared" si="194"/>
        <v>0</v>
      </c>
      <c r="I295" s="289">
        <f t="shared" si="195"/>
        <v>0</v>
      </c>
    </row>
    <row r="296" spans="1:10" x14ac:dyDescent="0.2">
      <c r="A296" s="385"/>
      <c r="B296" s="386" t="s">
        <v>313</v>
      </c>
      <c r="C296" s="387"/>
      <c r="D296" s="456">
        <f>D293-D294-D295</f>
        <v>77521933.329999998</v>
      </c>
      <c r="E296" s="456">
        <f t="shared" ref="E296:G296" si="196">E293-E294-E295</f>
        <v>77521933.329999998</v>
      </c>
      <c r="F296" s="456">
        <f t="shared" si="196"/>
        <v>8691119.2599999998</v>
      </c>
      <c r="G296" s="456">
        <f t="shared" si="196"/>
        <v>0</v>
      </c>
      <c r="H296" s="289">
        <f t="shared" si="194"/>
        <v>0</v>
      </c>
      <c r="I296" s="289">
        <f t="shared" si="195"/>
        <v>0</v>
      </c>
    </row>
    <row r="297" spans="1:10" ht="165.75" x14ac:dyDescent="0.2">
      <c r="A297" s="195"/>
      <c r="B297" s="477" t="s">
        <v>221</v>
      </c>
      <c r="C297" s="144" t="s">
        <v>199</v>
      </c>
      <c r="D297" s="284">
        <f>135118038.92-11477630</f>
        <v>123640408.91999999</v>
      </c>
      <c r="E297" s="496">
        <f>D297</f>
        <v>123640408.91999999</v>
      </c>
      <c r="F297" s="390">
        <v>62278096.580000006</v>
      </c>
      <c r="G297" s="285">
        <f>D297-E297</f>
        <v>0</v>
      </c>
      <c r="H297" s="289">
        <f t="shared" ref="H297:H341" si="197">IF(F297&gt;E297,1,0)</f>
        <v>0</v>
      </c>
      <c r="I297" s="289">
        <f t="shared" ref="I297:I388" si="198">IF(G297&lt;0,1,0)</f>
        <v>0</v>
      </c>
    </row>
    <row r="298" spans="1:10" x14ac:dyDescent="0.2">
      <c r="A298" s="385"/>
      <c r="B298" s="386" t="s">
        <v>146</v>
      </c>
      <c r="C298" s="387"/>
      <c r="D298" s="389">
        <f>D297-D299</f>
        <v>46816184.919999987</v>
      </c>
      <c r="E298" s="389">
        <f>E297-E299</f>
        <v>46816184.919999987</v>
      </c>
      <c r="F298" s="389">
        <f>F297-F299</f>
        <v>43914858.690000005</v>
      </c>
      <c r="G298" s="389">
        <f>G297-G299</f>
        <v>0</v>
      </c>
      <c r="H298" s="289">
        <f t="shared" si="197"/>
        <v>0</v>
      </c>
      <c r="I298" s="289">
        <f t="shared" si="198"/>
        <v>0</v>
      </c>
    </row>
    <row r="299" spans="1:10" x14ac:dyDescent="0.2">
      <c r="A299" s="385"/>
      <c r="B299" s="386" t="s">
        <v>147</v>
      </c>
      <c r="C299" s="387"/>
      <c r="D299" s="388">
        <v>76824224</v>
      </c>
      <c r="E299" s="456">
        <f>D299</f>
        <v>76824224</v>
      </c>
      <c r="F299" s="1431">
        <v>18363237.890000001</v>
      </c>
      <c r="G299" s="389">
        <f>D299-E299</f>
        <v>0</v>
      </c>
      <c r="H299" s="289">
        <f t="shared" si="197"/>
        <v>0</v>
      </c>
      <c r="I299" s="289">
        <f t="shared" si="198"/>
        <v>0</v>
      </c>
      <c r="J299" s="1310" t="s">
        <v>793</v>
      </c>
    </row>
    <row r="300" spans="1:10" x14ac:dyDescent="0.2">
      <c r="A300" s="195"/>
      <c r="B300" s="479"/>
      <c r="C300" s="191"/>
      <c r="D300" s="286"/>
      <c r="E300" s="189"/>
      <c r="F300" s="189"/>
      <c r="G300" s="285"/>
      <c r="H300" s="289">
        <f t="shared" si="197"/>
        <v>0</v>
      </c>
      <c r="I300" s="289">
        <f t="shared" si="198"/>
        <v>0</v>
      </c>
    </row>
    <row r="301" spans="1:10" x14ac:dyDescent="0.2">
      <c r="A301" s="187" t="s">
        <v>268</v>
      </c>
      <c r="B301" s="251" t="s">
        <v>269</v>
      </c>
      <c r="C301" s="193"/>
      <c r="D301" s="287">
        <f>D317+D305+D308+D311+D314</f>
        <v>127243750</v>
      </c>
      <c r="E301" s="287">
        <f t="shared" ref="E301:G301" si="199">E317+E305+E308+E311+E314</f>
        <v>127243750</v>
      </c>
      <c r="F301" s="287">
        <f t="shared" si="199"/>
        <v>76390645.700000003</v>
      </c>
      <c r="G301" s="287">
        <f t="shared" si="199"/>
        <v>0</v>
      </c>
      <c r="H301" s="289">
        <f t="shared" ref="H301:H319" si="200">IF(F301&gt;E301,1,0)</f>
        <v>0</v>
      </c>
      <c r="I301" s="289">
        <f t="shared" ref="I301:I319" si="201">IF(G301&lt;0,1,0)</f>
        <v>0</v>
      </c>
    </row>
    <row r="302" spans="1:10" x14ac:dyDescent="0.2">
      <c r="A302" s="378"/>
      <c r="B302" s="379" t="s">
        <v>146</v>
      </c>
      <c r="C302" s="380"/>
      <c r="D302" s="505">
        <f t="shared" ref="D302" si="202">D318+D306+D309+D312+D315</f>
        <v>127243750</v>
      </c>
      <c r="E302" s="505">
        <f t="shared" ref="E302:G302" si="203">E318+E306+E309+E312+E315</f>
        <v>127243750</v>
      </c>
      <c r="F302" s="505">
        <f t="shared" si="203"/>
        <v>76390645.700000003</v>
      </c>
      <c r="G302" s="505">
        <f t="shared" si="203"/>
        <v>0</v>
      </c>
      <c r="H302" s="289">
        <f t="shared" si="200"/>
        <v>0</v>
      </c>
      <c r="I302" s="289">
        <f t="shared" si="201"/>
        <v>0</v>
      </c>
    </row>
    <row r="303" spans="1:10" x14ac:dyDescent="0.2">
      <c r="A303" s="378"/>
      <c r="B303" s="379" t="s">
        <v>147</v>
      </c>
      <c r="C303" s="380"/>
      <c r="D303" s="505">
        <f>D301-D302</f>
        <v>0</v>
      </c>
      <c r="E303" s="505">
        <f t="shared" ref="E303:G303" si="204">E301-E302</f>
        <v>0</v>
      </c>
      <c r="F303" s="505">
        <f t="shared" si="204"/>
        <v>0</v>
      </c>
      <c r="G303" s="505">
        <f t="shared" si="204"/>
        <v>0</v>
      </c>
      <c r="H303" s="289">
        <f t="shared" si="200"/>
        <v>0</v>
      </c>
      <c r="I303" s="289">
        <f t="shared" si="201"/>
        <v>0</v>
      </c>
    </row>
    <row r="304" spans="1:10" x14ac:dyDescent="0.2">
      <c r="A304" s="195"/>
      <c r="B304" s="476" t="s">
        <v>38</v>
      </c>
      <c r="C304" s="191"/>
      <c r="D304" s="286"/>
      <c r="E304" s="189"/>
      <c r="F304" s="189"/>
      <c r="G304" s="285"/>
      <c r="H304" s="289">
        <f t="shared" si="200"/>
        <v>0</v>
      </c>
      <c r="I304" s="289">
        <f t="shared" si="201"/>
        <v>0</v>
      </c>
    </row>
    <row r="305" spans="1:10" ht="102" x14ac:dyDescent="0.2">
      <c r="A305" s="1306"/>
      <c r="B305" s="477" t="s">
        <v>747</v>
      </c>
      <c r="C305" s="144" t="s">
        <v>746</v>
      </c>
      <c r="D305" s="284">
        <v>1887800</v>
      </c>
      <c r="E305" s="496">
        <f>'Проверочная  таблица'!IX37</f>
        <v>1887800</v>
      </c>
      <c r="F305" s="496">
        <f>'Проверочная  таблица'!JH37</f>
        <v>1880840.0499999998</v>
      </c>
      <c r="G305" s="285">
        <f t="shared" ref="G305:G307" si="205">D305-E305</f>
        <v>0</v>
      </c>
      <c r="H305" s="289">
        <f t="shared" ref="H305:H308" si="206">IF(F305&gt;E305,1,0)</f>
        <v>0</v>
      </c>
      <c r="I305" s="289">
        <f t="shared" ref="I305:I307" si="207">IF(G305&lt;0,1,0)</f>
        <v>0</v>
      </c>
      <c r="J305" s="1523">
        <f>D305+D308</f>
        <v>36900000</v>
      </c>
    </row>
    <row r="306" spans="1:10" x14ac:dyDescent="0.2">
      <c r="A306" s="385"/>
      <c r="B306" s="386" t="s">
        <v>146</v>
      </c>
      <c r="C306" s="387"/>
      <c r="D306" s="389">
        <f>D305-D307</f>
        <v>1887800</v>
      </c>
      <c r="E306" s="389">
        <f t="shared" ref="E306:F306" si="208">E305-E307</f>
        <v>1887800</v>
      </c>
      <c r="F306" s="389">
        <f t="shared" si="208"/>
        <v>1880840.0499999998</v>
      </c>
      <c r="G306" s="389">
        <f t="shared" si="205"/>
        <v>0</v>
      </c>
      <c r="H306" s="289">
        <f t="shared" si="206"/>
        <v>0</v>
      </c>
      <c r="I306" s="289">
        <f t="shared" si="207"/>
        <v>0</v>
      </c>
    </row>
    <row r="307" spans="1:10" x14ac:dyDescent="0.2">
      <c r="A307" s="385"/>
      <c r="B307" s="386" t="s">
        <v>147</v>
      </c>
      <c r="C307" s="387"/>
      <c r="D307" s="388"/>
      <c r="E307" s="456"/>
      <c r="F307" s="388"/>
      <c r="G307" s="389">
        <f t="shared" si="205"/>
        <v>0</v>
      </c>
      <c r="H307" s="289">
        <f t="shared" si="206"/>
        <v>0</v>
      </c>
      <c r="I307" s="289">
        <f t="shared" si="207"/>
        <v>0</v>
      </c>
    </row>
    <row r="308" spans="1:10" x14ac:dyDescent="0.2">
      <c r="A308" s="692"/>
      <c r="B308" s="693" t="s">
        <v>58</v>
      </c>
      <c r="C308" s="681" t="s">
        <v>746</v>
      </c>
      <c r="D308" s="885">
        <f>35012200</f>
        <v>35012200</v>
      </c>
      <c r="E308" s="691">
        <f>'Проверочная  таблица'!IY37</f>
        <v>35012200</v>
      </c>
      <c r="F308" s="691">
        <f>'Проверочная  таблица'!JI37</f>
        <v>34883116.660000004</v>
      </c>
      <c r="G308" s="695">
        <f>D308-E308</f>
        <v>0</v>
      </c>
      <c r="H308" s="289">
        <f t="shared" si="206"/>
        <v>0</v>
      </c>
      <c r="I308" s="289">
        <f>IF(G308&lt;0,1,0)</f>
        <v>0</v>
      </c>
    </row>
    <row r="309" spans="1:10" x14ac:dyDescent="0.2">
      <c r="A309" s="692"/>
      <c r="B309" s="696" t="s">
        <v>146</v>
      </c>
      <c r="C309" s="697"/>
      <c r="D309" s="695">
        <f>D308-D310</f>
        <v>35012200</v>
      </c>
      <c r="E309" s="695">
        <f t="shared" ref="E309:F309" si="209">E308-E310</f>
        <v>35012200</v>
      </c>
      <c r="F309" s="695">
        <f t="shared" si="209"/>
        <v>34883116.660000004</v>
      </c>
      <c r="G309" s="695">
        <f t="shared" ref="G309:G310" si="210">D309-E309</f>
        <v>0</v>
      </c>
      <c r="H309" s="1311">
        <f t="shared" ref="H309:H310" si="211">IF(F309&gt;E309,1,0)</f>
        <v>0</v>
      </c>
      <c r="I309" s="484">
        <f t="shared" ref="I309:I310" si="212">IF(G309&lt;0,1,0)</f>
        <v>0</v>
      </c>
    </row>
    <row r="310" spans="1:10" x14ac:dyDescent="0.2">
      <c r="A310" s="692"/>
      <c r="B310" s="696" t="s">
        <v>147</v>
      </c>
      <c r="C310" s="697"/>
      <c r="D310" s="698"/>
      <c r="E310" s="691"/>
      <c r="F310" s="698"/>
      <c r="G310" s="695">
        <f t="shared" si="210"/>
        <v>0</v>
      </c>
      <c r="H310" s="1311">
        <f t="shared" si="211"/>
        <v>0</v>
      </c>
      <c r="I310" s="484">
        <f t="shared" si="212"/>
        <v>0</v>
      </c>
    </row>
    <row r="311" spans="1:10" ht="127.5" x14ac:dyDescent="0.2">
      <c r="A311" s="1306"/>
      <c r="B311" s="477" t="s">
        <v>749</v>
      </c>
      <c r="C311" s="144" t="s">
        <v>748</v>
      </c>
      <c r="D311" s="284">
        <v>25296250</v>
      </c>
      <c r="E311" s="496">
        <f>'Проверочная  таблица'!IV37</f>
        <v>25296250</v>
      </c>
      <c r="F311" s="496">
        <f>'Проверочная  таблица'!JF37</f>
        <v>11095472.92</v>
      </c>
      <c r="G311" s="285">
        <f t="shared" ref="G311:G313" si="213">D311-E311</f>
        <v>0</v>
      </c>
      <c r="H311" s="289">
        <f t="shared" ref="H311:H316" si="214">IF(F311&gt;E311,1,0)</f>
        <v>0</v>
      </c>
      <c r="I311" s="289">
        <f t="shared" ref="I311:I313" si="215">IF(G311&lt;0,1,0)</f>
        <v>0</v>
      </c>
      <c r="J311" s="1523">
        <f>D311+D314</f>
        <v>90343750</v>
      </c>
    </row>
    <row r="312" spans="1:10" x14ac:dyDescent="0.2">
      <c r="A312" s="385"/>
      <c r="B312" s="386" t="s">
        <v>146</v>
      </c>
      <c r="C312" s="387"/>
      <c r="D312" s="389">
        <f>D311-D313</f>
        <v>25296250</v>
      </c>
      <c r="E312" s="389">
        <f t="shared" ref="E312:F312" si="216">E311-E313</f>
        <v>25296250</v>
      </c>
      <c r="F312" s="389">
        <f t="shared" si="216"/>
        <v>11095472.92</v>
      </c>
      <c r="G312" s="389">
        <f t="shared" si="213"/>
        <v>0</v>
      </c>
      <c r="H312" s="289">
        <f t="shared" si="214"/>
        <v>0</v>
      </c>
      <c r="I312" s="289">
        <f t="shared" si="215"/>
        <v>0</v>
      </c>
      <c r="J312" s="1310">
        <f>J311-90343750</f>
        <v>0</v>
      </c>
    </row>
    <row r="313" spans="1:10" x14ac:dyDescent="0.2">
      <c r="A313" s="385"/>
      <c r="B313" s="386" t="s">
        <v>147</v>
      </c>
      <c r="C313" s="387"/>
      <c r="D313" s="388"/>
      <c r="E313" s="456"/>
      <c r="F313" s="388"/>
      <c r="G313" s="389">
        <f t="shared" si="213"/>
        <v>0</v>
      </c>
      <c r="H313" s="289">
        <f t="shared" si="214"/>
        <v>0</v>
      </c>
      <c r="I313" s="289">
        <f t="shared" si="215"/>
        <v>0</v>
      </c>
    </row>
    <row r="314" spans="1:10" x14ac:dyDescent="0.2">
      <c r="A314" s="692"/>
      <c r="B314" s="693" t="s">
        <v>58</v>
      </c>
      <c r="C314" s="681" t="s">
        <v>748</v>
      </c>
      <c r="D314" s="885">
        <v>65047500</v>
      </c>
      <c r="E314" s="691">
        <f>'Проверочная  таблица'!IW37</f>
        <v>65047500</v>
      </c>
      <c r="F314" s="691">
        <f>'Проверочная  таблица'!JG37</f>
        <v>28531216.07</v>
      </c>
      <c r="G314" s="695">
        <f>D314-E314</f>
        <v>0</v>
      </c>
      <c r="H314" s="289">
        <f t="shared" si="214"/>
        <v>0</v>
      </c>
      <c r="I314" s="289">
        <f>IF(G314&lt;0,1,0)</f>
        <v>0</v>
      </c>
    </row>
    <row r="315" spans="1:10" x14ac:dyDescent="0.2">
      <c r="A315" s="692"/>
      <c r="B315" s="696" t="s">
        <v>146</v>
      </c>
      <c r="C315" s="697"/>
      <c r="D315" s="695">
        <f>D314-D316</f>
        <v>65047500</v>
      </c>
      <c r="E315" s="695">
        <f t="shared" ref="E315:F315" si="217">E314-E316</f>
        <v>65047500</v>
      </c>
      <c r="F315" s="695">
        <f t="shared" si="217"/>
        <v>28531216.07</v>
      </c>
      <c r="G315" s="695">
        <f t="shared" ref="G315:G316" si="218">D315-E315</f>
        <v>0</v>
      </c>
      <c r="H315" s="484">
        <f t="shared" si="214"/>
        <v>0</v>
      </c>
      <c r="I315" s="484">
        <f t="shared" ref="I315:I316" si="219">IF(G315&lt;0,1,0)</f>
        <v>0</v>
      </c>
    </row>
    <row r="316" spans="1:10" x14ac:dyDescent="0.2">
      <c r="A316" s="692"/>
      <c r="B316" s="696" t="s">
        <v>147</v>
      </c>
      <c r="C316" s="697"/>
      <c r="D316" s="698"/>
      <c r="E316" s="691"/>
      <c r="F316" s="698"/>
      <c r="G316" s="695">
        <f t="shared" si="218"/>
        <v>0</v>
      </c>
      <c r="H316" s="484">
        <f t="shared" si="214"/>
        <v>0</v>
      </c>
      <c r="I316" s="484">
        <f t="shared" si="219"/>
        <v>0</v>
      </c>
    </row>
    <row r="317" spans="1:10" ht="165.75" hidden="1" x14ac:dyDescent="0.2">
      <c r="A317" s="1139"/>
      <c r="B317" s="477" t="s">
        <v>221</v>
      </c>
      <c r="C317" s="144" t="s">
        <v>199</v>
      </c>
      <c r="D317" s="284"/>
      <c r="E317" s="496">
        <f>D317</f>
        <v>0</v>
      </c>
      <c r="F317" s="390"/>
      <c r="G317" s="285">
        <f t="shared" ref="G317:G319" si="220">D317-E317</f>
        <v>0</v>
      </c>
      <c r="H317" s="289">
        <f t="shared" si="200"/>
        <v>0</v>
      </c>
      <c r="I317" s="289">
        <f t="shared" si="201"/>
        <v>0</v>
      </c>
    </row>
    <row r="318" spans="1:10" hidden="1" x14ac:dyDescent="0.2">
      <c r="A318" s="385"/>
      <c r="B318" s="386" t="s">
        <v>146</v>
      </c>
      <c r="C318" s="387"/>
      <c r="D318" s="389">
        <f>D317-D319</f>
        <v>0</v>
      </c>
      <c r="E318" s="389">
        <f t="shared" ref="E318:F318" si="221">E317-E319</f>
        <v>0</v>
      </c>
      <c r="F318" s="389">
        <f t="shared" si="221"/>
        <v>0</v>
      </c>
      <c r="G318" s="389">
        <f t="shared" si="220"/>
        <v>0</v>
      </c>
      <c r="H318" s="289">
        <f t="shared" si="200"/>
        <v>0</v>
      </c>
      <c r="I318" s="289">
        <f t="shared" si="201"/>
        <v>0</v>
      </c>
    </row>
    <row r="319" spans="1:10" hidden="1" x14ac:dyDescent="0.2">
      <c r="A319" s="385"/>
      <c r="B319" s="386" t="s">
        <v>147</v>
      </c>
      <c r="C319" s="387"/>
      <c r="D319" s="388"/>
      <c r="E319" s="456">
        <f>D319</f>
        <v>0</v>
      </c>
      <c r="F319" s="388"/>
      <c r="G319" s="389">
        <f t="shared" si="220"/>
        <v>0</v>
      </c>
      <c r="H319" s="289">
        <f t="shared" si="200"/>
        <v>0</v>
      </c>
      <c r="I319" s="289">
        <f t="shared" si="201"/>
        <v>0</v>
      </c>
    </row>
    <row r="320" spans="1:10" x14ac:dyDescent="0.2">
      <c r="A320" s="195"/>
      <c r="B320" s="479"/>
      <c r="C320" s="191"/>
      <c r="D320" s="286"/>
      <c r="E320" s="189"/>
      <c r="F320" s="189"/>
      <c r="G320" s="285"/>
      <c r="H320" s="289">
        <f>IF(F320&gt;E320,1,0)</f>
        <v>0</v>
      </c>
      <c r="I320" s="289">
        <f>IF(G320&lt;0,1,0)</f>
        <v>0</v>
      </c>
    </row>
    <row r="321" spans="1:9" x14ac:dyDescent="0.2">
      <c r="A321" s="187" t="s">
        <v>46</v>
      </c>
      <c r="B321" s="251" t="s">
        <v>111</v>
      </c>
      <c r="C321" s="193"/>
      <c r="D321" s="287">
        <f t="shared" ref="D321:G321" si="222">D325+D331+D328</f>
        <v>14500000</v>
      </c>
      <c r="E321" s="287">
        <f t="shared" si="222"/>
        <v>14500000</v>
      </c>
      <c r="F321" s="287">
        <f t="shared" si="222"/>
        <v>8877892.3300000001</v>
      </c>
      <c r="G321" s="287">
        <f t="shared" si="222"/>
        <v>0</v>
      </c>
      <c r="H321" s="289">
        <f t="shared" si="197"/>
        <v>0</v>
      </c>
      <c r="I321" s="289">
        <f t="shared" si="198"/>
        <v>0</v>
      </c>
    </row>
    <row r="322" spans="1:9" x14ac:dyDescent="0.2">
      <c r="A322" s="378"/>
      <c r="B322" s="379" t="s">
        <v>146</v>
      </c>
      <c r="C322" s="380"/>
      <c r="D322" s="505">
        <f t="shared" ref="D322" si="223">D326+D332+D329</f>
        <v>14500000</v>
      </c>
      <c r="E322" s="505">
        <f t="shared" ref="E322:G322" si="224">E326+E332+E329</f>
        <v>14500000</v>
      </c>
      <c r="F322" s="505">
        <f t="shared" si="224"/>
        <v>8877892.3300000001</v>
      </c>
      <c r="G322" s="505">
        <f t="shared" si="224"/>
        <v>0</v>
      </c>
      <c r="H322" s="289">
        <f t="shared" si="197"/>
        <v>0</v>
      </c>
      <c r="I322" s="289">
        <f t="shared" si="198"/>
        <v>0</v>
      </c>
    </row>
    <row r="323" spans="1:9" x14ac:dyDescent="0.2">
      <c r="A323" s="378"/>
      <c r="B323" s="379" t="s">
        <v>147</v>
      </c>
      <c r="C323" s="380"/>
      <c r="D323" s="505">
        <f>D321-D322</f>
        <v>0</v>
      </c>
      <c r="E323" s="505">
        <f t="shared" ref="E323:G323" si="225">E321-E322</f>
        <v>0</v>
      </c>
      <c r="F323" s="505">
        <f t="shared" si="225"/>
        <v>0</v>
      </c>
      <c r="G323" s="505">
        <f t="shared" si="225"/>
        <v>0</v>
      </c>
      <c r="H323" s="289">
        <f t="shared" si="197"/>
        <v>0</v>
      </c>
      <c r="I323" s="289">
        <f t="shared" si="198"/>
        <v>0</v>
      </c>
    </row>
    <row r="324" spans="1:9" x14ac:dyDescent="0.2">
      <c r="A324" s="195"/>
      <c r="B324" s="476" t="s">
        <v>38</v>
      </c>
      <c r="C324" s="191"/>
      <c r="D324" s="286"/>
      <c r="E324" s="189"/>
      <c r="F324" s="189"/>
      <c r="G324" s="285"/>
      <c r="H324" s="289">
        <f t="shared" si="197"/>
        <v>0</v>
      </c>
      <c r="I324" s="289">
        <f t="shared" si="198"/>
        <v>0</v>
      </c>
    </row>
    <row r="325" spans="1:9" ht="114.75" x14ac:dyDescent="0.2">
      <c r="A325" s="195"/>
      <c r="B325" s="475" t="s">
        <v>579</v>
      </c>
      <c r="C325" s="144" t="s">
        <v>514</v>
      </c>
      <c r="D325" s="284">
        <v>2500000</v>
      </c>
      <c r="E325" s="201">
        <f>'Прочая  субсидия_МР  и  ГО'!J33</f>
        <v>2500000</v>
      </c>
      <c r="F325" s="201">
        <f>'Прочая  субсидия_МР  и  ГО'!K33</f>
        <v>1896003.04</v>
      </c>
      <c r="G325" s="285">
        <f t="shared" ref="G325:G333" si="226">D325-E325</f>
        <v>0</v>
      </c>
      <c r="H325" s="289">
        <f t="shared" si="197"/>
        <v>0</v>
      </c>
      <c r="I325" s="289">
        <f t="shared" si="198"/>
        <v>0</v>
      </c>
    </row>
    <row r="326" spans="1:9" x14ac:dyDescent="0.2">
      <c r="A326" s="385"/>
      <c r="B326" s="386" t="s">
        <v>146</v>
      </c>
      <c r="C326" s="387"/>
      <c r="D326" s="389">
        <f>D325</f>
        <v>2500000</v>
      </c>
      <c r="E326" s="389">
        <f>E325</f>
        <v>2500000</v>
      </c>
      <c r="F326" s="389">
        <f>F325</f>
        <v>1896003.04</v>
      </c>
      <c r="G326" s="389">
        <f t="shared" si="226"/>
        <v>0</v>
      </c>
      <c r="H326" s="289">
        <f t="shared" si="197"/>
        <v>0</v>
      </c>
      <c r="I326" s="289">
        <f t="shared" si="198"/>
        <v>0</v>
      </c>
    </row>
    <row r="327" spans="1:9" x14ac:dyDescent="0.2">
      <c r="A327" s="385"/>
      <c r="B327" s="386" t="s">
        <v>147</v>
      </c>
      <c r="C327" s="387"/>
      <c r="D327" s="389"/>
      <c r="E327" s="389"/>
      <c r="F327" s="389"/>
      <c r="G327" s="389">
        <f t="shared" si="226"/>
        <v>0</v>
      </c>
      <c r="H327" s="289">
        <f t="shared" si="197"/>
        <v>0</v>
      </c>
      <c r="I327" s="289">
        <f t="shared" si="198"/>
        <v>0</v>
      </c>
    </row>
    <row r="328" spans="1:9" ht="114.75" x14ac:dyDescent="0.2">
      <c r="A328" s="195"/>
      <c r="B328" s="475" t="s">
        <v>388</v>
      </c>
      <c r="C328" s="144" t="s">
        <v>300</v>
      </c>
      <c r="D328" s="284">
        <v>12000000</v>
      </c>
      <c r="E328" s="201">
        <f>'Прочая  субсидия_МР  и  ГО'!L38</f>
        <v>12000000</v>
      </c>
      <c r="F328" s="201">
        <f>'Прочая  субсидия_МР  и  ГО'!M38</f>
        <v>6981889.29</v>
      </c>
      <c r="G328" s="285">
        <f>D328-E328</f>
        <v>0</v>
      </c>
      <c r="H328" s="289">
        <f>IF(F328&gt;E328,1,0)</f>
        <v>0</v>
      </c>
      <c r="I328" s="289">
        <f>IF(G328&lt;0,1,0)</f>
        <v>0</v>
      </c>
    </row>
    <row r="329" spans="1:9" x14ac:dyDescent="0.2">
      <c r="A329" s="385"/>
      <c r="B329" s="386" t="s">
        <v>146</v>
      </c>
      <c r="C329" s="387"/>
      <c r="D329" s="389">
        <f>D328</f>
        <v>12000000</v>
      </c>
      <c r="E329" s="389">
        <f t="shared" ref="E329:F329" si="227">E328</f>
        <v>12000000</v>
      </c>
      <c r="F329" s="389">
        <f t="shared" si="227"/>
        <v>6981889.29</v>
      </c>
      <c r="G329" s="389">
        <f>D329-E329</f>
        <v>0</v>
      </c>
      <c r="H329" s="289">
        <f>IF(F329&gt;E329,1,0)</f>
        <v>0</v>
      </c>
      <c r="I329" s="289">
        <f>IF(G329&lt;0,1,0)</f>
        <v>0</v>
      </c>
    </row>
    <row r="330" spans="1:9" x14ac:dyDescent="0.2">
      <c r="A330" s="385"/>
      <c r="B330" s="386" t="s">
        <v>147</v>
      </c>
      <c r="C330" s="387"/>
      <c r="D330" s="389"/>
      <c r="E330" s="389"/>
      <c r="F330" s="389"/>
      <c r="G330" s="389">
        <f>D330-E330</f>
        <v>0</v>
      </c>
      <c r="H330" s="289">
        <f>IF(F330&gt;E330,1,0)</f>
        <v>0</v>
      </c>
      <c r="I330" s="289">
        <f>IF(G330&lt;0,1,0)</f>
        <v>0</v>
      </c>
    </row>
    <row r="331" spans="1:9" ht="165.75" hidden="1" x14ac:dyDescent="0.2">
      <c r="A331" s="1139"/>
      <c r="B331" s="477" t="s">
        <v>221</v>
      </c>
      <c r="C331" s="144" t="s">
        <v>199</v>
      </c>
      <c r="D331" s="284"/>
      <c r="E331" s="496">
        <f>D331</f>
        <v>0</v>
      </c>
      <c r="F331" s="390"/>
      <c r="G331" s="285">
        <f t="shared" si="226"/>
        <v>0</v>
      </c>
      <c r="H331" s="289">
        <f t="shared" si="197"/>
        <v>0</v>
      </c>
      <c r="I331" s="289">
        <f t="shared" si="198"/>
        <v>0</v>
      </c>
    </row>
    <row r="332" spans="1:9" hidden="1" x14ac:dyDescent="0.2">
      <c r="A332" s="385"/>
      <c r="B332" s="386" t="s">
        <v>146</v>
      </c>
      <c r="C332" s="387"/>
      <c r="D332" s="389">
        <f>D331</f>
        <v>0</v>
      </c>
      <c r="E332" s="389">
        <f>E331</f>
        <v>0</v>
      </c>
      <c r="F332" s="389">
        <f>F331</f>
        <v>0</v>
      </c>
      <c r="G332" s="389">
        <f t="shared" si="226"/>
        <v>0</v>
      </c>
      <c r="H332" s="289">
        <f t="shared" si="197"/>
        <v>0</v>
      </c>
      <c r="I332" s="289">
        <f t="shared" si="198"/>
        <v>0</v>
      </c>
    </row>
    <row r="333" spans="1:9" hidden="1" x14ac:dyDescent="0.2">
      <c r="A333" s="385"/>
      <c r="B333" s="386" t="s">
        <v>147</v>
      </c>
      <c r="C333" s="387"/>
      <c r="D333" s="389">
        <f>D331-D332</f>
        <v>0</v>
      </c>
      <c r="E333" s="389">
        <f>E331-E332</f>
        <v>0</v>
      </c>
      <c r="F333" s="389">
        <f>F331-F332</f>
        <v>0</v>
      </c>
      <c r="G333" s="389">
        <f t="shared" si="226"/>
        <v>0</v>
      </c>
      <c r="H333" s="289">
        <f t="shared" si="197"/>
        <v>0</v>
      </c>
      <c r="I333" s="289">
        <f t="shared" si="198"/>
        <v>0</v>
      </c>
    </row>
    <row r="334" spans="1:9" x14ac:dyDescent="0.2">
      <c r="A334" s="195"/>
      <c r="B334" s="479"/>
      <c r="C334" s="191"/>
      <c r="D334" s="286"/>
      <c r="E334" s="189"/>
      <c r="F334" s="189"/>
      <c r="G334" s="285"/>
      <c r="H334" s="289">
        <f t="shared" si="197"/>
        <v>0</v>
      </c>
      <c r="I334" s="289">
        <f t="shared" si="198"/>
        <v>0</v>
      </c>
    </row>
    <row r="335" spans="1:9" x14ac:dyDescent="0.2">
      <c r="A335" s="187" t="s">
        <v>33</v>
      </c>
      <c r="B335" s="251" t="s">
        <v>34</v>
      </c>
      <c r="C335" s="193"/>
      <c r="D335" s="798">
        <f>D378+D381+D342+D351+D357+D354+D360+D363+D339+D366+D369+D372+D345+D375+D348</f>
        <v>89986381.673000008</v>
      </c>
      <c r="E335" s="798">
        <f t="shared" ref="E335:G335" si="228">E378+E381+E342+E351+E357+E354+E360+E363+E339+E366+E369+E372+E345+E375+E348</f>
        <v>83808981.670000002</v>
      </c>
      <c r="F335" s="798">
        <f t="shared" si="228"/>
        <v>35879858.82</v>
      </c>
      <c r="G335" s="798">
        <f t="shared" si="228"/>
        <v>6177400.0029999986</v>
      </c>
      <c r="H335" s="289">
        <f t="shared" si="197"/>
        <v>0</v>
      </c>
      <c r="I335" s="289">
        <f t="shared" si="198"/>
        <v>0</v>
      </c>
    </row>
    <row r="336" spans="1:9" x14ac:dyDescent="0.2">
      <c r="A336" s="378"/>
      <c r="B336" s="379" t="s">
        <v>146</v>
      </c>
      <c r="C336" s="380"/>
      <c r="D336" s="505">
        <f>D346+D349+D358+D361+D364+D367+D370+D373+D376+D379+D382</f>
        <v>59839575.673</v>
      </c>
      <c r="E336" s="505">
        <f t="shared" ref="E336:G336" si="229">E346+E349+E358+E361+E364+E367+E370+E373+E376+E379+E382</f>
        <v>53662175.670000002</v>
      </c>
      <c r="F336" s="505">
        <f t="shared" si="229"/>
        <v>32278630.699999999</v>
      </c>
      <c r="G336" s="505">
        <f t="shared" si="229"/>
        <v>6177400.0029999986</v>
      </c>
      <c r="H336" s="289">
        <f t="shared" si="197"/>
        <v>0</v>
      </c>
      <c r="I336" s="289">
        <f t="shared" si="198"/>
        <v>0</v>
      </c>
    </row>
    <row r="337" spans="1:10" x14ac:dyDescent="0.2">
      <c r="A337" s="378"/>
      <c r="B337" s="379" t="s">
        <v>147</v>
      </c>
      <c r="C337" s="380"/>
      <c r="D337" s="505">
        <f>D335-D336</f>
        <v>30146806.000000007</v>
      </c>
      <c r="E337" s="505">
        <f t="shared" ref="E337:G337" si="230">E335-E336</f>
        <v>30146806</v>
      </c>
      <c r="F337" s="505">
        <f t="shared" si="230"/>
        <v>3601228.120000001</v>
      </c>
      <c r="G337" s="505">
        <f t="shared" si="230"/>
        <v>0</v>
      </c>
      <c r="H337" s="289">
        <f t="shared" si="197"/>
        <v>0</v>
      </c>
      <c r="I337" s="289">
        <f t="shared" si="198"/>
        <v>0</v>
      </c>
    </row>
    <row r="338" spans="1:10" x14ac:dyDescent="0.2">
      <c r="A338" s="195"/>
      <c r="B338" s="476" t="s">
        <v>38</v>
      </c>
      <c r="C338" s="191"/>
      <c r="D338" s="286"/>
      <c r="E338" s="286"/>
      <c r="F338" s="286"/>
      <c r="G338" s="286"/>
      <c r="H338" s="289">
        <f t="shared" si="197"/>
        <v>0</v>
      </c>
      <c r="I338" s="289">
        <f t="shared" si="198"/>
        <v>0</v>
      </c>
    </row>
    <row r="339" spans="1:10" ht="140.25" hidden="1" x14ac:dyDescent="0.2">
      <c r="A339" s="1139"/>
      <c r="B339" s="481" t="s">
        <v>304</v>
      </c>
      <c r="C339" s="144" t="s">
        <v>291</v>
      </c>
      <c r="D339" s="284"/>
      <c r="E339" s="201"/>
      <c r="F339" s="201"/>
      <c r="G339" s="285">
        <f>D339-E339</f>
        <v>0</v>
      </c>
      <c r="H339" s="289">
        <f t="shared" si="197"/>
        <v>0</v>
      </c>
      <c r="I339" s="289">
        <f t="shared" si="198"/>
        <v>0</v>
      </c>
    </row>
    <row r="340" spans="1:10" hidden="1" x14ac:dyDescent="0.2">
      <c r="A340" s="385"/>
      <c r="B340" s="386" t="s">
        <v>146</v>
      </c>
      <c r="C340" s="387"/>
      <c r="D340" s="389">
        <f>D339</f>
        <v>0</v>
      </c>
      <c r="E340" s="389">
        <f>E339</f>
        <v>0</v>
      </c>
      <c r="F340" s="389">
        <f>F339</f>
        <v>0</v>
      </c>
      <c r="G340" s="389">
        <f>D340-E340</f>
        <v>0</v>
      </c>
      <c r="H340" s="289">
        <f t="shared" si="197"/>
        <v>0</v>
      </c>
      <c r="I340" s="289">
        <f t="shared" si="198"/>
        <v>0</v>
      </c>
    </row>
    <row r="341" spans="1:10" hidden="1" x14ac:dyDescent="0.2">
      <c r="A341" s="385"/>
      <c r="B341" s="386" t="s">
        <v>147</v>
      </c>
      <c r="C341" s="387"/>
      <c r="D341" s="389"/>
      <c r="E341" s="389"/>
      <c r="F341" s="389"/>
      <c r="G341" s="389">
        <f>D341-E341</f>
        <v>0</v>
      </c>
      <c r="H341" s="289">
        <f t="shared" si="197"/>
        <v>0</v>
      </c>
      <c r="I341" s="289">
        <f t="shared" si="198"/>
        <v>0</v>
      </c>
    </row>
    <row r="342" spans="1:10" ht="102" hidden="1" x14ac:dyDescent="0.2">
      <c r="A342" s="1139"/>
      <c r="B342" s="481" t="s">
        <v>239</v>
      </c>
      <c r="C342" s="144" t="s">
        <v>238</v>
      </c>
      <c r="D342" s="284"/>
      <c r="E342" s="201">
        <f>'Проверочная  таблица'!AL38</f>
        <v>0</v>
      </c>
      <c r="F342" s="201">
        <f>'Проверочная  таблица'!AR38</f>
        <v>0</v>
      </c>
      <c r="G342" s="285">
        <f>D342-E342</f>
        <v>0</v>
      </c>
      <c r="H342" s="289">
        <f t="shared" ref="H342:H356" si="231">IF(F342&gt;E342,1,0)</f>
        <v>0</v>
      </c>
      <c r="I342" s="289">
        <f>IF(G342&lt;0,1,0)</f>
        <v>0</v>
      </c>
    </row>
    <row r="343" spans="1:10" hidden="1" x14ac:dyDescent="0.2">
      <c r="A343" s="385"/>
      <c r="B343" s="386" t="s">
        <v>146</v>
      </c>
      <c r="C343" s="387"/>
      <c r="D343" s="389"/>
      <c r="E343" s="389"/>
      <c r="F343" s="389"/>
      <c r="G343" s="389">
        <v>0</v>
      </c>
      <c r="H343" s="289">
        <f t="shared" si="231"/>
        <v>0</v>
      </c>
      <c r="I343" s="289">
        <f>IF(G343&lt;0,1,0)</f>
        <v>0</v>
      </c>
    </row>
    <row r="344" spans="1:10" hidden="1" x14ac:dyDescent="0.2">
      <c r="A344" s="385"/>
      <c r="B344" s="386" t="s">
        <v>147</v>
      </c>
      <c r="C344" s="627"/>
      <c r="D344" s="389">
        <f>D342-D343</f>
        <v>0</v>
      </c>
      <c r="E344" s="389">
        <f>E342-E343</f>
        <v>0</v>
      </c>
      <c r="F344" s="389">
        <f>F342-F343</f>
        <v>0</v>
      </c>
      <c r="G344" s="389">
        <f>D344-E344</f>
        <v>0</v>
      </c>
      <c r="H344" s="289">
        <f t="shared" si="231"/>
        <v>0</v>
      </c>
      <c r="I344" s="289">
        <f>IF(G344&lt;0,1,0)</f>
        <v>0</v>
      </c>
    </row>
    <row r="345" spans="1:10" ht="165.75" x14ac:dyDescent="0.2">
      <c r="A345" s="249"/>
      <c r="B345" s="481" t="s">
        <v>924</v>
      </c>
      <c r="C345" s="144" t="s">
        <v>923</v>
      </c>
      <c r="D345" s="284">
        <v>1729700</v>
      </c>
      <c r="E345" s="201">
        <f>'Проверочная  таблица'!IR38</f>
        <v>0</v>
      </c>
      <c r="F345" s="201">
        <f>'Проверочная  таблица'!JB38</f>
        <v>0</v>
      </c>
      <c r="G345" s="285">
        <f>D345-E345</f>
        <v>1729700</v>
      </c>
      <c r="H345" s="289">
        <f t="shared" ref="H345:H350" si="232">IF(F345&gt;E345,1,0)</f>
        <v>0</v>
      </c>
      <c r="I345" s="289">
        <f t="shared" ref="I345:I350" si="233">IF(G345&lt;0,1,0)</f>
        <v>0</v>
      </c>
      <c r="J345" s="1523">
        <f>G345+G348</f>
        <v>6177400</v>
      </c>
    </row>
    <row r="346" spans="1:10" x14ac:dyDescent="0.2">
      <c r="A346" s="385"/>
      <c r="B346" s="386" t="s">
        <v>146</v>
      </c>
      <c r="C346" s="387"/>
      <c r="D346" s="389">
        <f>D345</f>
        <v>1729700</v>
      </c>
      <c r="E346" s="389">
        <f t="shared" ref="E346:F346" si="234">E345</f>
        <v>0</v>
      </c>
      <c r="F346" s="389">
        <f t="shared" si="234"/>
        <v>0</v>
      </c>
      <c r="G346" s="389">
        <f>D346-E346</f>
        <v>1729700</v>
      </c>
      <c r="H346" s="289">
        <f t="shared" si="232"/>
        <v>0</v>
      </c>
      <c r="I346" s="289">
        <f t="shared" si="233"/>
        <v>0</v>
      </c>
    </row>
    <row r="347" spans="1:10" x14ac:dyDescent="0.2">
      <c r="A347" s="385"/>
      <c r="B347" s="386" t="s">
        <v>147</v>
      </c>
      <c r="C347" s="627"/>
      <c r="D347" s="389"/>
      <c r="E347" s="389"/>
      <c r="F347" s="389"/>
      <c r="G347" s="389">
        <f>D347-E347</f>
        <v>0</v>
      </c>
      <c r="H347" s="289">
        <f t="shared" si="232"/>
        <v>0</v>
      </c>
      <c r="I347" s="289">
        <f t="shared" si="233"/>
        <v>0</v>
      </c>
    </row>
    <row r="348" spans="1:10" x14ac:dyDescent="0.2">
      <c r="A348" s="692"/>
      <c r="B348" s="693" t="s">
        <v>58</v>
      </c>
      <c r="C348" s="681" t="s">
        <v>923</v>
      </c>
      <c r="D348" s="694">
        <v>4447700</v>
      </c>
      <c r="E348" s="691">
        <f>'Проверочная  таблица'!IS38</f>
        <v>0</v>
      </c>
      <c r="F348" s="691">
        <f>'Проверочная  таблица'!JC38</f>
        <v>0</v>
      </c>
      <c r="G348" s="695">
        <f>D348-E348</f>
        <v>4447700</v>
      </c>
      <c r="H348" s="289">
        <f t="shared" si="232"/>
        <v>0</v>
      </c>
      <c r="I348" s="289">
        <f t="shared" si="233"/>
        <v>0</v>
      </c>
    </row>
    <row r="349" spans="1:10" x14ac:dyDescent="0.2">
      <c r="A349" s="692"/>
      <c r="B349" s="696" t="s">
        <v>146</v>
      </c>
      <c r="C349" s="697"/>
      <c r="D349" s="695">
        <f>D348</f>
        <v>4447700</v>
      </c>
      <c r="E349" s="695">
        <f>E348</f>
        <v>0</v>
      </c>
      <c r="F349" s="695">
        <f>F348</f>
        <v>0</v>
      </c>
      <c r="G349" s="695">
        <f>G348</f>
        <v>4447700</v>
      </c>
      <c r="H349" s="289">
        <f t="shared" si="232"/>
        <v>0</v>
      </c>
      <c r="I349" s="289">
        <f t="shared" si="233"/>
        <v>0</v>
      </c>
    </row>
    <row r="350" spans="1:10" x14ac:dyDescent="0.2">
      <c r="A350" s="692"/>
      <c r="B350" s="696" t="s">
        <v>147</v>
      </c>
      <c r="C350" s="697"/>
      <c r="D350" s="695"/>
      <c r="E350" s="695"/>
      <c r="F350" s="695"/>
      <c r="G350" s="695">
        <f>D350-E350</f>
        <v>0</v>
      </c>
      <c r="H350" s="289">
        <f t="shared" si="232"/>
        <v>0</v>
      </c>
      <c r="I350" s="289">
        <f t="shared" si="233"/>
        <v>0</v>
      </c>
    </row>
    <row r="351" spans="1:10" ht="153" hidden="1" x14ac:dyDescent="0.2">
      <c r="A351" s="1139"/>
      <c r="B351" s="802" t="s">
        <v>240</v>
      </c>
      <c r="C351" s="144" t="s">
        <v>241</v>
      </c>
      <c r="D351" s="626"/>
      <c r="E351" s="201"/>
      <c r="F351" s="201"/>
      <c r="G351" s="285">
        <f>D351-E351</f>
        <v>0</v>
      </c>
      <c r="H351" s="289">
        <f t="shared" si="231"/>
        <v>0</v>
      </c>
      <c r="I351" s="289">
        <f t="shared" ref="I351:I356" si="235">IF(G351&lt;0,1,0)</f>
        <v>0</v>
      </c>
      <c r="J351" s="1523">
        <f>D351+D354</f>
        <v>0</v>
      </c>
    </row>
    <row r="352" spans="1:10" hidden="1" x14ac:dyDescent="0.2">
      <c r="A352" s="385"/>
      <c r="B352" s="386" t="s">
        <v>146</v>
      </c>
      <c r="C352" s="628"/>
      <c r="D352" s="389">
        <f>D351</f>
        <v>0</v>
      </c>
      <c r="E352" s="389">
        <f>E351</f>
        <v>0</v>
      </c>
      <c r="F352" s="389">
        <f>F351</f>
        <v>0</v>
      </c>
      <c r="G352" s="389">
        <f>G351</f>
        <v>0</v>
      </c>
      <c r="H352" s="289">
        <f t="shared" si="231"/>
        <v>0</v>
      </c>
      <c r="I352" s="289">
        <f t="shared" si="235"/>
        <v>0</v>
      </c>
    </row>
    <row r="353" spans="1:17" hidden="1" x14ac:dyDescent="0.2">
      <c r="A353" s="385"/>
      <c r="B353" s="386" t="s">
        <v>147</v>
      </c>
      <c r="C353" s="387"/>
      <c r="D353" s="389"/>
      <c r="E353" s="389"/>
      <c r="F353" s="389"/>
      <c r="G353" s="389">
        <f>D353-E353</f>
        <v>0</v>
      </c>
      <c r="H353" s="289">
        <f t="shared" si="231"/>
        <v>0</v>
      </c>
      <c r="I353" s="289">
        <f t="shared" si="235"/>
        <v>0</v>
      </c>
    </row>
    <row r="354" spans="1:17" hidden="1" x14ac:dyDescent="0.2">
      <c r="A354" s="692"/>
      <c r="B354" s="693" t="s">
        <v>58</v>
      </c>
      <c r="C354" s="681" t="s">
        <v>241</v>
      </c>
      <c r="D354" s="694"/>
      <c r="E354" s="691"/>
      <c r="F354" s="691"/>
      <c r="G354" s="695">
        <f>D354-E354</f>
        <v>0</v>
      </c>
      <c r="H354" s="289">
        <f t="shared" si="231"/>
        <v>0</v>
      </c>
      <c r="I354" s="289">
        <f t="shared" si="235"/>
        <v>0</v>
      </c>
    </row>
    <row r="355" spans="1:17" hidden="1" x14ac:dyDescent="0.2">
      <c r="A355" s="692"/>
      <c r="B355" s="696" t="s">
        <v>146</v>
      </c>
      <c r="C355" s="697"/>
      <c r="D355" s="695">
        <f>D354</f>
        <v>0</v>
      </c>
      <c r="E355" s="695">
        <f>E354</f>
        <v>0</v>
      </c>
      <c r="F355" s="695">
        <f>F354</f>
        <v>0</v>
      </c>
      <c r="G355" s="695">
        <f>G354</f>
        <v>0</v>
      </c>
      <c r="H355" s="289">
        <f t="shared" si="231"/>
        <v>0</v>
      </c>
      <c r="I355" s="289">
        <f t="shared" si="235"/>
        <v>0</v>
      </c>
    </row>
    <row r="356" spans="1:17" hidden="1" x14ac:dyDescent="0.2">
      <c r="A356" s="692"/>
      <c r="B356" s="696" t="s">
        <v>147</v>
      </c>
      <c r="C356" s="697"/>
      <c r="D356" s="695"/>
      <c r="E356" s="695"/>
      <c r="F356" s="695"/>
      <c r="G356" s="695">
        <f>D356-E356</f>
        <v>0</v>
      </c>
      <c r="H356" s="289">
        <f t="shared" si="231"/>
        <v>0</v>
      </c>
      <c r="I356" s="289">
        <f t="shared" si="235"/>
        <v>0</v>
      </c>
    </row>
    <row r="357" spans="1:17" ht="114.75" x14ac:dyDescent="0.2">
      <c r="A357" s="195"/>
      <c r="B357" s="802" t="s">
        <v>283</v>
      </c>
      <c r="C357" s="144" t="s">
        <v>295</v>
      </c>
      <c r="D357" s="626">
        <f>6158911.67+0.01+0.01+0.04+0.02+0.01+0.013</f>
        <v>6158911.7729999991</v>
      </c>
      <c r="E357" s="201">
        <f>'Проверочная  таблица'!HR38</f>
        <v>6158911.7700000005</v>
      </c>
      <c r="F357" s="201">
        <f>'Проверочная  таблица'!HU38</f>
        <v>5302778.13</v>
      </c>
      <c r="G357" s="285">
        <f>D357-E357</f>
        <v>2.9999986290931702E-3</v>
      </c>
      <c r="H357" s="289">
        <f t="shared" ref="H357:H362" si="236">IF(F357&gt;E357,1,0)</f>
        <v>0</v>
      </c>
      <c r="I357" s="289">
        <f t="shared" ref="I357:I362" si="237">IF(G357&lt;0,1,0)</f>
        <v>0</v>
      </c>
      <c r="J357" s="1526">
        <f>D357+D360</f>
        <v>21996111.673</v>
      </c>
    </row>
    <row r="358" spans="1:17" x14ac:dyDescent="0.2">
      <c r="A358" s="385"/>
      <c r="B358" s="386" t="s">
        <v>146</v>
      </c>
      <c r="C358" s="628"/>
      <c r="D358" s="389">
        <f>D357</f>
        <v>6158911.7729999991</v>
      </c>
      <c r="E358" s="389">
        <f>E357</f>
        <v>6158911.7700000005</v>
      </c>
      <c r="F358" s="389">
        <f>F357</f>
        <v>5302778.13</v>
      </c>
      <c r="G358" s="389">
        <f>G357</f>
        <v>2.9999986290931702E-3</v>
      </c>
      <c r="H358" s="289">
        <f t="shared" si="236"/>
        <v>0</v>
      </c>
      <c r="I358" s="289">
        <f t="shared" si="237"/>
        <v>0</v>
      </c>
      <c r="J358" s="1524">
        <f>21996111.67-J357</f>
        <v>-2.9999986290931702E-3</v>
      </c>
    </row>
    <row r="359" spans="1:17" x14ac:dyDescent="0.2">
      <c r="A359" s="385"/>
      <c r="B359" s="386" t="s">
        <v>147</v>
      </c>
      <c r="C359" s="387"/>
      <c r="D359" s="389"/>
      <c r="E359" s="389"/>
      <c r="F359" s="389"/>
      <c r="G359" s="389">
        <f>D359-E359</f>
        <v>0</v>
      </c>
      <c r="H359" s="289">
        <f t="shared" si="236"/>
        <v>0</v>
      </c>
      <c r="I359" s="289">
        <f t="shared" si="237"/>
        <v>0</v>
      </c>
      <c r="J359" s="1526"/>
    </row>
    <row r="360" spans="1:17" x14ac:dyDescent="0.2">
      <c r="A360" s="692"/>
      <c r="B360" s="693" t="s">
        <v>58</v>
      </c>
      <c r="C360" s="681" t="s">
        <v>295</v>
      </c>
      <c r="D360" s="694">
        <f>15837200-0.01-0.01-0.04-0.02-0.01-0.01</f>
        <v>15837199.900000002</v>
      </c>
      <c r="E360" s="691">
        <f>'Проверочная  таблица'!HS38</f>
        <v>15837199.899999999</v>
      </c>
      <c r="F360" s="691">
        <f>'Проверочная  таблица'!HV38</f>
        <v>13635713.57</v>
      </c>
      <c r="G360" s="695">
        <f>D360-E360</f>
        <v>0</v>
      </c>
      <c r="H360" s="289">
        <f t="shared" si="236"/>
        <v>0</v>
      </c>
      <c r="I360" s="289">
        <f t="shared" si="237"/>
        <v>0</v>
      </c>
      <c r="J360" s="1529"/>
    </row>
    <row r="361" spans="1:17" x14ac:dyDescent="0.2">
      <c r="A361" s="692"/>
      <c r="B361" s="696" t="s">
        <v>146</v>
      </c>
      <c r="C361" s="697"/>
      <c r="D361" s="695">
        <f>D360</f>
        <v>15837199.900000002</v>
      </c>
      <c r="E361" s="695">
        <f>E360</f>
        <v>15837199.899999999</v>
      </c>
      <c r="F361" s="695">
        <f>F360</f>
        <v>13635713.57</v>
      </c>
      <c r="G361" s="695">
        <f>G360</f>
        <v>0</v>
      </c>
      <c r="H361" s="289">
        <f t="shared" si="236"/>
        <v>0</v>
      </c>
      <c r="I361" s="289">
        <f t="shared" si="237"/>
        <v>0</v>
      </c>
      <c r="J361" s="1524"/>
    </row>
    <row r="362" spans="1:17" x14ac:dyDescent="0.2">
      <c r="A362" s="692"/>
      <c r="B362" s="696" t="s">
        <v>147</v>
      </c>
      <c r="C362" s="697"/>
      <c r="D362" s="695"/>
      <c r="E362" s="695"/>
      <c r="F362" s="695"/>
      <c r="G362" s="695">
        <f>D362-E362</f>
        <v>0</v>
      </c>
      <c r="H362" s="289">
        <f t="shared" si="236"/>
        <v>0</v>
      </c>
      <c r="I362" s="289">
        <f t="shared" si="237"/>
        <v>0</v>
      </c>
      <c r="J362" s="1524"/>
      <c r="K362" s="801"/>
      <c r="L362" s="801"/>
      <c r="M362" s="801"/>
      <c r="N362" s="801"/>
      <c r="O362" s="801"/>
      <c r="P362" s="801"/>
      <c r="Q362" s="801"/>
    </row>
    <row r="363" spans="1:17" ht="140.25" x14ac:dyDescent="0.2">
      <c r="A363" s="195"/>
      <c r="B363" s="802" t="s">
        <v>297</v>
      </c>
      <c r="C363" s="144" t="s">
        <v>296</v>
      </c>
      <c r="D363" s="626">
        <f>1047238+1</f>
        <v>1047239</v>
      </c>
      <c r="E363" s="201">
        <f>'Проверочная  таблица'!HL37</f>
        <v>1047239</v>
      </c>
      <c r="F363" s="201">
        <f>'Проверочная  таблица'!HO37</f>
        <v>1047239</v>
      </c>
      <c r="G363" s="285">
        <f>D363-E363</f>
        <v>0</v>
      </c>
      <c r="H363" s="289">
        <f t="shared" ref="H363:H368" si="238">IF(F363&gt;E363,1,0)</f>
        <v>0</v>
      </c>
      <c r="I363" s="289">
        <f t="shared" ref="I363:I368" si="239">IF(G363&lt;0,1,0)</f>
        <v>0</v>
      </c>
      <c r="J363" s="1523">
        <f>D363+D366</f>
        <v>3740139</v>
      </c>
      <c r="K363" s="801"/>
      <c r="L363" s="801"/>
      <c r="M363" s="801"/>
      <c r="N363" s="801"/>
      <c r="O363" s="801"/>
      <c r="P363" s="801"/>
      <c r="Q363" s="801"/>
    </row>
    <row r="364" spans="1:17" x14ac:dyDescent="0.2">
      <c r="A364" s="385"/>
      <c r="B364" s="386" t="s">
        <v>146</v>
      </c>
      <c r="C364" s="628"/>
      <c r="D364" s="389">
        <f>D363</f>
        <v>1047239</v>
      </c>
      <c r="E364" s="389">
        <f>E363</f>
        <v>1047239</v>
      </c>
      <c r="F364" s="389">
        <f>F363</f>
        <v>1047239</v>
      </c>
      <c r="G364" s="389">
        <f>G363</f>
        <v>0</v>
      </c>
      <c r="H364" s="289">
        <f t="shared" si="238"/>
        <v>0</v>
      </c>
      <c r="I364" s="289">
        <f t="shared" si="239"/>
        <v>0</v>
      </c>
      <c r="K364" s="801"/>
      <c r="L364" s="801"/>
      <c r="M364" s="801"/>
      <c r="N364" s="801"/>
      <c r="O364" s="801"/>
      <c r="P364" s="801"/>
      <c r="Q364" s="801"/>
    </row>
    <row r="365" spans="1:17" x14ac:dyDescent="0.2">
      <c r="A365" s="385"/>
      <c r="B365" s="386" t="s">
        <v>147</v>
      </c>
      <c r="C365" s="387"/>
      <c r="D365" s="389"/>
      <c r="E365" s="389"/>
      <c r="F365" s="389"/>
      <c r="G365" s="389">
        <f>D365-E365</f>
        <v>0</v>
      </c>
      <c r="H365" s="289">
        <f t="shared" si="238"/>
        <v>0</v>
      </c>
      <c r="I365" s="289">
        <f t="shared" si="239"/>
        <v>0</v>
      </c>
      <c r="K365" s="801"/>
      <c r="L365" s="801"/>
      <c r="M365" s="801"/>
      <c r="N365" s="801"/>
      <c r="O365" s="801"/>
      <c r="P365" s="801"/>
      <c r="Q365" s="801"/>
    </row>
    <row r="366" spans="1:17" x14ac:dyDescent="0.2">
      <c r="A366" s="692"/>
      <c r="B366" s="693" t="s">
        <v>58</v>
      </c>
      <c r="C366" s="681" t="s">
        <v>296</v>
      </c>
      <c r="D366" s="694">
        <v>2692900</v>
      </c>
      <c r="E366" s="691">
        <f>'Проверочная  таблица'!HM37</f>
        <v>2692900</v>
      </c>
      <c r="F366" s="691">
        <f>'Проверочная  таблица'!HP37</f>
        <v>2692900</v>
      </c>
      <c r="G366" s="695">
        <f>D366-E366</f>
        <v>0</v>
      </c>
      <c r="H366" s="289">
        <f t="shared" si="238"/>
        <v>0</v>
      </c>
      <c r="I366" s="289">
        <f t="shared" si="239"/>
        <v>0</v>
      </c>
      <c r="J366" s="1526"/>
      <c r="K366" s="801"/>
      <c r="L366" s="801"/>
      <c r="M366" s="801"/>
      <c r="N366" s="801"/>
      <c r="O366" s="801"/>
      <c r="P366" s="801"/>
      <c r="Q366" s="801"/>
    </row>
    <row r="367" spans="1:17" x14ac:dyDescent="0.2">
      <c r="A367" s="692"/>
      <c r="B367" s="696" t="s">
        <v>146</v>
      </c>
      <c r="C367" s="697"/>
      <c r="D367" s="695">
        <f>D366</f>
        <v>2692900</v>
      </c>
      <c r="E367" s="695">
        <f>E366</f>
        <v>2692900</v>
      </c>
      <c r="F367" s="695">
        <f>F366</f>
        <v>2692900</v>
      </c>
      <c r="G367" s="695">
        <f>G366</f>
        <v>0</v>
      </c>
      <c r="H367" s="289">
        <f t="shared" si="238"/>
        <v>0</v>
      </c>
      <c r="I367" s="289">
        <f t="shared" si="239"/>
        <v>0</v>
      </c>
      <c r="K367" s="801"/>
      <c r="L367" s="801"/>
      <c r="M367" s="801"/>
      <c r="N367" s="801"/>
      <c r="O367" s="801"/>
      <c r="P367" s="801"/>
      <c r="Q367" s="801"/>
    </row>
    <row r="368" spans="1:17" x14ac:dyDescent="0.2">
      <c r="A368" s="692"/>
      <c r="B368" s="696" t="s">
        <v>147</v>
      </c>
      <c r="C368" s="697"/>
      <c r="D368" s="695"/>
      <c r="E368" s="695"/>
      <c r="F368" s="695"/>
      <c r="G368" s="695">
        <f t="shared" ref="G368:G374" si="240">D368-E368</f>
        <v>0</v>
      </c>
      <c r="H368" s="289">
        <f t="shared" si="238"/>
        <v>0</v>
      </c>
      <c r="I368" s="289">
        <f t="shared" si="239"/>
        <v>0</v>
      </c>
      <c r="J368" s="1524"/>
      <c r="K368" s="801"/>
      <c r="L368" s="801"/>
      <c r="M368" s="801"/>
      <c r="N368" s="801"/>
      <c r="O368" s="801"/>
      <c r="P368" s="801"/>
      <c r="Q368" s="801"/>
    </row>
    <row r="369" spans="1:17" ht="242.25" x14ac:dyDescent="0.2">
      <c r="A369" s="990"/>
      <c r="B369" s="802" t="s">
        <v>408</v>
      </c>
      <c r="C369" s="144" t="s">
        <v>405</v>
      </c>
      <c r="D369" s="626">
        <v>8441106</v>
      </c>
      <c r="E369" s="201">
        <f>'Проверочная  таблица'!IT38</f>
        <v>8441106</v>
      </c>
      <c r="F369" s="201">
        <f>'Проверочная  таблица'!JD38</f>
        <v>1008343.91</v>
      </c>
      <c r="G369" s="285">
        <f t="shared" si="240"/>
        <v>0</v>
      </c>
      <c r="H369" s="289">
        <f t="shared" ref="H369:H377" si="241">IF(F369&gt;E369,1,0)</f>
        <v>0</v>
      </c>
      <c r="I369" s="289">
        <f t="shared" ref="I369:I377" si="242">IF(G369&lt;0,1,0)</f>
        <v>0</v>
      </c>
      <c r="J369" s="1523">
        <f>D369+D372</f>
        <v>30146806</v>
      </c>
      <c r="K369" s="801"/>
      <c r="L369" s="801"/>
      <c r="M369" s="801"/>
      <c r="N369" s="801"/>
      <c r="O369" s="801"/>
      <c r="P369" s="801"/>
      <c r="Q369" s="801"/>
    </row>
    <row r="370" spans="1:17" x14ac:dyDescent="0.2">
      <c r="A370" s="385"/>
      <c r="B370" s="386" t="s">
        <v>146</v>
      </c>
      <c r="C370" s="628"/>
      <c r="D370" s="389">
        <f>D369-D371</f>
        <v>0</v>
      </c>
      <c r="E370" s="389">
        <f t="shared" ref="E370:F370" si="243">E369-E371</f>
        <v>0</v>
      </c>
      <c r="F370" s="389">
        <f t="shared" si="243"/>
        <v>0</v>
      </c>
      <c r="G370" s="389">
        <f t="shared" si="240"/>
        <v>0</v>
      </c>
      <c r="H370" s="289">
        <f t="shared" si="241"/>
        <v>0</v>
      </c>
      <c r="I370" s="289">
        <f t="shared" si="242"/>
        <v>0</v>
      </c>
      <c r="K370" s="801"/>
      <c r="L370" s="801"/>
      <c r="M370" s="801"/>
      <c r="N370" s="801"/>
      <c r="O370" s="801"/>
      <c r="P370" s="801"/>
      <c r="Q370" s="801"/>
    </row>
    <row r="371" spans="1:17" x14ac:dyDescent="0.2">
      <c r="A371" s="385"/>
      <c r="B371" s="386" t="s">
        <v>147</v>
      </c>
      <c r="C371" s="387"/>
      <c r="D371" s="456">
        <f>D369</f>
        <v>8441106</v>
      </c>
      <c r="E371" s="456">
        <f t="shared" ref="E371:F371" si="244">E369</f>
        <v>8441106</v>
      </c>
      <c r="F371" s="456">
        <f t="shared" si="244"/>
        <v>1008343.91</v>
      </c>
      <c r="G371" s="389">
        <f t="shared" si="240"/>
        <v>0</v>
      </c>
      <c r="H371" s="289">
        <f t="shared" si="241"/>
        <v>0</v>
      </c>
      <c r="I371" s="289">
        <f t="shared" si="242"/>
        <v>0</v>
      </c>
      <c r="J371" s="1526"/>
      <c r="K371" s="801"/>
      <c r="L371" s="801"/>
      <c r="M371" s="801"/>
      <c r="N371" s="801"/>
      <c r="O371" s="801"/>
      <c r="P371" s="801"/>
      <c r="Q371" s="801"/>
    </row>
    <row r="372" spans="1:17" x14ac:dyDescent="0.2">
      <c r="A372" s="692"/>
      <c r="B372" s="693" t="s">
        <v>58</v>
      </c>
      <c r="C372" s="681" t="s">
        <v>405</v>
      </c>
      <c r="D372" s="694">
        <v>21705700</v>
      </c>
      <c r="E372" s="691">
        <f>'Проверочная  таблица'!IU38</f>
        <v>21705700</v>
      </c>
      <c r="F372" s="691">
        <f>'Проверочная  таблица'!JE38</f>
        <v>2592884.21</v>
      </c>
      <c r="G372" s="695">
        <f t="shared" si="240"/>
        <v>0</v>
      </c>
      <c r="H372" s="289">
        <f t="shared" si="241"/>
        <v>0</v>
      </c>
      <c r="I372" s="289">
        <f t="shared" si="242"/>
        <v>0</v>
      </c>
      <c r="K372" s="801"/>
      <c r="L372" s="801"/>
      <c r="M372" s="801"/>
      <c r="N372" s="801"/>
      <c r="O372" s="801"/>
      <c r="P372" s="801"/>
      <c r="Q372" s="801"/>
    </row>
    <row r="373" spans="1:17" x14ac:dyDescent="0.2">
      <c r="A373" s="692"/>
      <c r="B373" s="696" t="s">
        <v>146</v>
      </c>
      <c r="C373" s="697"/>
      <c r="D373" s="695"/>
      <c r="E373" s="695"/>
      <c r="F373" s="695"/>
      <c r="G373" s="695">
        <f t="shared" si="240"/>
        <v>0</v>
      </c>
      <c r="H373" s="289">
        <f t="shared" si="241"/>
        <v>0</v>
      </c>
      <c r="I373" s="289">
        <f t="shared" si="242"/>
        <v>0</v>
      </c>
      <c r="K373" s="801"/>
      <c r="L373" s="801"/>
      <c r="M373" s="801"/>
      <c r="N373" s="801"/>
      <c r="O373" s="801"/>
      <c r="P373" s="801"/>
      <c r="Q373" s="801"/>
    </row>
    <row r="374" spans="1:17" x14ac:dyDescent="0.2">
      <c r="A374" s="692"/>
      <c r="B374" s="696" t="s">
        <v>147</v>
      </c>
      <c r="C374" s="697"/>
      <c r="D374" s="695">
        <f>D372-D373</f>
        <v>21705700</v>
      </c>
      <c r="E374" s="695">
        <f t="shared" ref="E374:F374" si="245">E372-E373</f>
        <v>21705700</v>
      </c>
      <c r="F374" s="695">
        <f t="shared" si="245"/>
        <v>2592884.21</v>
      </c>
      <c r="G374" s="695">
        <f t="shared" si="240"/>
        <v>0</v>
      </c>
      <c r="H374" s="289">
        <f t="shared" si="241"/>
        <v>0</v>
      </c>
      <c r="I374" s="289">
        <f t="shared" si="242"/>
        <v>0</v>
      </c>
      <c r="J374" s="1524"/>
      <c r="K374" s="801"/>
      <c r="L374" s="801"/>
      <c r="M374" s="801"/>
      <c r="N374" s="801"/>
      <c r="O374" s="801"/>
      <c r="P374" s="801"/>
      <c r="Q374" s="801"/>
    </row>
    <row r="375" spans="1:17" ht="165.75" x14ac:dyDescent="0.2">
      <c r="A375" s="1306"/>
      <c r="B375" s="481" t="s">
        <v>753</v>
      </c>
      <c r="C375" s="144" t="s">
        <v>729</v>
      </c>
      <c r="D375" s="284">
        <v>9000000</v>
      </c>
      <c r="E375" s="189">
        <f>'Проверочная  таблица'!IZ37</f>
        <v>9000000</v>
      </c>
      <c r="F375" s="189">
        <f>'Проверочная  таблица'!JJ37</f>
        <v>9000000</v>
      </c>
      <c r="G375" s="285">
        <f t="shared" ref="G375:G377" si="246">D375-E375</f>
        <v>0</v>
      </c>
      <c r="H375" s="289">
        <f t="shared" si="241"/>
        <v>0</v>
      </c>
      <c r="I375" s="289">
        <f t="shared" si="242"/>
        <v>0</v>
      </c>
    </row>
    <row r="376" spans="1:17" x14ac:dyDescent="0.2">
      <c r="A376" s="385"/>
      <c r="B376" s="386" t="s">
        <v>146</v>
      </c>
      <c r="C376" s="387"/>
      <c r="D376" s="389">
        <f>D375</f>
        <v>9000000</v>
      </c>
      <c r="E376" s="389">
        <f>E375</f>
        <v>9000000</v>
      </c>
      <c r="F376" s="389">
        <f>F375</f>
        <v>9000000</v>
      </c>
      <c r="G376" s="389">
        <f t="shared" si="246"/>
        <v>0</v>
      </c>
      <c r="H376" s="289">
        <f t="shared" si="241"/>
        <v>0</v>
      </c>
      <c r="I376" s="289">
        <f t="shared" si="242"/>
        <v>0</v>
      </c>
    </row>
    <row r="377" spans="1:17" x14ac:dyDescent="0.2">
      <c r="A377" s="385"/>
      <c r="B377" s="386" t="s">
        <v>147</v>
      </c>
      <c r="C377" s="387"/>
      <c r="D377" s="389"/>
      <c r="E377" s="389"/>
      <c r="F377" s="389"/>
      <c r="G377" s="389">
        <f t="shared" si="246"/>
        <v>0</v>
      </c>
      <c r="H377" s="289">
        <f t="shared" si="241"/>
        <v>0</v>
      </c>
      <c r="I377" s="289">
        <f t="shared" si="242"/>
        <v>0</v>
      </c>
    </row>
    <row r="378" spans="1:17" ht="153" x14ac:dyDescent="0.2">
      <c r="A378" s="195"/>
      <c r="B378" s="481" t="s">
        <v>395</v>
      </c>
      <c r="C378" s="144" t="s">
        <v>394</v>
      </c>
      <c r="D378" s="284">
        <v>600000</v>
      </c>
      <c r="E378" s="189">
        <f>'Прочая  субсидия_МР  и  ГО'!N38</f>
        <v>600000</v>
      </c>
      <c r="F378" s="189">
        <f>'Прочая  субсидия_МР  и  ГО'!O38</f>
        <v>600000</v>
      </c>
      <c r="G378" s="285">
        <f t="shared" ref="G378:G380" si="247">D378-E378</f>
        <v>0</v>
      </c>
      <c r="H378" s="289">
        <f t="shared" ref="H378:H383" si="248">IF(F378&gt;E378,1,0)</f>
        <v>0</v>
      </c>
      <c r="I378" s="289">
        <f t="shared" si="198"/>
        <v>0</v>
      </c>
    </row>
    <row r="379" spans="1:17" x14ac:dyDescent="0.2">
      <c r="A379" s="385"/>
      <c r="B379" s="386" t="s">
        <v>146</v>
      </c>
      <c r="C379" s="387"/>
      <c r="D379" s="389">
        <f>D378</f>
        <v>600000</v>
      </c>
      <c r="E379" s="389">
        <f>E378</f>
        <v>600000</v>
      </c>
      <c r="F379" s="389">
        <f>F378</f>
        <v>600000</v>
      </c>
      <c r="G379" s="389">
        <f t="shared" si="247"/>
        <v>0</v>
      </c>
      <c r="H379" s="289">
        <f t="shared" si="248"/>
        <v>0</v>
      </c>
      <c r="I379" s="289">
        <f t="shared" si="198"/>
        <v>0</v>
      </c>
    </row>
    <row r="380" spans="1:17" x14ac:dyDescent="0.2">
      <c r="A380" s="385"/>
      <c r="B380" s="386" t="s">
        <v>147</v>
      </c>
      <c r="C380" s="387"/>
      <c r="D380" s="389"/>
      <c r="E380" s="389"/>
      <c r="F380" s="389"/>
      <c r="G380" s="389">
        <f t="shared" si="247"/>
        <v>0</v>
      </c>
      <c r="H380" s="289">
        <f t="shared" si="248"/>
        <v>0</v>
      </c>
      <c r="I380" s="289">
        <f t="shared" si="198"/>
        <v>0</v>
      </c>
    </row>
    <row r="381" spans="1:17" ht="165.75" x14ac:dyDescent="0.2">
      <c r="A381" s="195"/>
      <c r="B381" s="477" t="s">
        <v>221</v>
      </c>
      <c r="C381" s="144" t="s">
        <v>199</v>
      </c>
      <c r="D381" s="284">
        <v>18325925</v>
      </c>
      <c r="E381" s="450">
        <f>D381</f>
        <v>18325925</v>
      </c>
      <c r="F381" s="390"/>
      <c r="G381" s="285">
        <f>D381-E381</f>
        <v>0</v>
      </c>
      <c r="H381" s="289">
        <f t="shared" si="248"/>
        <v>0</v>
      </c>
      <c r="I381" s="289">
        <f t="shared" si="198"/>
        <v>0</v>
      </c>
      <c r="J381" s="1524"/>
      <c r="K381" s="801"/>
      <c r="L381" s="801"/>
      <c r="M381" s="801"/>
      <c r="N381" s="801"/>
      <c r="O381" s="801"/>
      <c r="P381" s="801"/>
      <c r="Q381" s="801"/>
    </row>
    <row r="382" spans="1:17" x14ac:dyDescent="0.2">
      <c r="A382" s="385"/>
      <c r="B382" s="386" t="s">
        <v>146</v>
      </c>
      <c r="C382" s="387"/>
      <c r="D382" s="389">
        <f>D381-D383</f>
        <v>18325925</v>
      </c>
      <c r="E382" s="389">
        <f>E381-E383</f>
        <v>18325925</v>
      </c>
      <c r="F382" s="389">
        <f>F381-F383</f>
        <v>0</v>
      </c>
      <c r="G382" s="389">
        <f>D382-E382</f>
        <v>0</v>
      </c>
      <c r="H382" s="289">
        <f t="shared" si="248"/>
        <v>0</v>
      </c>
      <c r="I382" s="289">
        <f t="shared" si="198"/>
        <v>0</v>
      </c>
      <c r="J382" s="1524"/>
      <c r="K382" s="801"/>
      <c r="L382" s="801"/>
      <c r="M382" s="801"/>
      <c r="N382" s="801"/>
      <c r="O382" s="801"/>
      <c r="P382" s="801"/>
      <c r="Q382" s="801"/>
    </row>
    <row r="383" spans="1:17" x14ac:dyDescent="0.2">
      <c r="A383" s="385"/>
      <c r="B383" s="386" t="s">
        <v>147</v>
      </c>
      <c r="C383" s="387"/>
      <c r="D383" s="388"/>
      <c r="E383" s="456">
        <f>D383</f>
        <v>0</v>
      </c>
      <c r="F383" s="388"/>
      <c r="G383" s="389">
        <f>D383-E383</f>
        <v>0</v>
      </c>
      <c r="H383" s="289">
        <f t="shared" si="248"/>
        <v>0</v>
      </c>
      <c r="I383" s="289">
        <f t="shared" si="198"/>
        <v>0</v>
      </c>
    </row>
    <row r="384" spans="1:17" s="801" customFormat="1" x14ac:dyDescent="0.2">
      <c r="A384" s="249"/>
      <c r="B384" s="370"/>
      <c r="C384" s="269"/>
      <c r="D384" s="483"/>
      <c r="E384" s="483"/>
      <c r="F384" s="483"/>
      <c r="G384" s="483"/>
      <c r="H384" s="484"/>
      <c r="I384" s="289">
        <f t="shared" si="198"/>
        <v>0</v>
      </c>
      <c r="J384" s="1524"/>
    </row>
    <row r="385" spans="1:10" hidden="1" x14ac:dyDescent="0.2">
      <c r="A385" s="187">
        <v>1101</v>
      </c>
      <c r="B385" s="251" t="s">
        <v>30</v>
      </c>
      <c r="C385" s="193"/>
      <c r="D385" s="287">
        <f>D389</f>
        <v>0</v>
      </c>
      <c r="E385" s="287">
        <f t="shared" ref="E385:G385" si="249">E389</f>
        <v>0</v>
      </c>
      <c r="F385" s="287">
        <f t="shared" si="249"/>
        <v>0</v>
      </c>
      <c r="G385" s="287">
        <f t="shared" si="249"/>
        <v>0</v>
      </c>
      <c r="H385" s="289">
        <f t="shared" ref="H385:H391" si="250">IF(F385&gt;E385,1,0)</f>
        <v>0</v>
      </c>
      <c r="I385" s="289">
        <f t="shared" si="198"/>
        <v>0</v>
      </c>
    </row>
    <row r="386" spans="1:10" hidden="1" x14ac:dyDescent="0.2">
      <c r="A386" s="378"/>
      <c r="B386" s="379" t="s">
        <v>146</v>
      </c>
      <c r="C386" s="380"/>
      <c r="D386" s="505">
        <f>D390</f>
        <v>0</v>
      </c>
      <c r="E386" s="505">
        <f t="shared" ref="E386:G386" si="251">E390</f>
        <v>0</v>
      </c>
      <c r="F386" s="505">
        <f t="shared" si="251"/>
        <v>0</v>
      </c>
      <c r="G386" s="505">
        <f t="shared" si="251"/>
        <v>0</v>
      </c>
      <c r="H386" s="289">
        <f t="shared" si="250"/>
        <v>0</v>
      </c>
      <c r="I386" s="289">
        <f t="shared" si="198"/>
        <v>0</v>
      </c>
    </row>
    <row r="387" spans="1:10" hidden="1" x14ac:dyDescent="0.2">
      <c r="A387" s="378"/>
      <c r="B387" s="379" t="s">
        <v>147</v>
      </c>
      <c r="C387" s="380"/>
      <c r="D387" s="505">
        <f>D391</f>
        <v>0</v>
      </c>
      <c r="E387" s="505">
        <f t="shared" ref="E387:G387" si="252">E391</f>
        <v>0</v>
      </c>
      <c r="F387" s="505">
        <f t="shared" si="252"/>
        <v>0</v>
      </c>
      <c r="G387" s="505">
        <f t="shared" si="252"/>
        <v>0</v>
      </c>
      <c r="H387" s="289">
        <f t="shared" si="250"/>
        <v>0</v>
      </c>
      <c r="I387" s="289">
        <f t="shared" si="198"/>
        <v>0</v>
      </c>
    </row>
    <row r="388" spans="1:10" hidden="1" x14ac:dyDescent="0.2">
      <c r="A388" s="195"/>
      <c r="B388" s="476" t="s">
        <v>38</v>
      </c>
      <c r="C388" s="191"/>
      <c r="D388" s="286"/>
      <c r="E388" s="189"/>
      <c r="F388" s="189"/>
      <c r="G388" s="285"/>
      <c r="H388" s="289">
        <f t="shared" si="250"/>
        <v>0</v>
      </c>
      <c r="I388" s="289">
        <f t="shared" si="198"/>
        <v>0</v>
      </c>
    </row>
    <row r="389" spans="1:10" ht="165.75" hidden="1" x14ac:dyDescent="0.2">
      <c r="A389" s="195"/>
      <c r="B389" s="477" t="s">
        <v>221</v>
      </c>
      <c r="C389" s="144" t="s">
        <v>199</v>
      </c>
      <c r="D389" s="284"/>
      <c r="E389" s="450">
        <f>D389</f>
        <v>0</v>
      </c>
      <c r="F389" s="390"/>
      <c r="G389" s="285">
        <f t="shared" ref="G389" si="253">D389-E389</f>
        <v>0</v>
      </c>
      <c r="H389" s="289">
        <f t="shared" si="250"/>
        <v>0</v>
      </c>
      <c r="I389" s="289">
        <f t="shared" ref="I389:I480" si="254">IF(G389&lt;0,1,0)</f>
        <v>0</v>
      </c>
    </row>
    <row r="390" spans="1:10" hidden="1" x14ac:dyDescent="0.2">
      <c r="A390" s="385"/>
      <c r="B390" s="386" t="s">
        <v>146</v>
      </c>
      <c r="C390" s="387"/>
      <c r="D390" s="389">
        <f>D389</f>
        <v>0</v>
      </c>
      <c r="E390" s="389">
        <f t="shared" ref="E390:G390" si="255">E389</f>
        <v>0</v>
      </c>
      <c r="F390" s="389">
        <f t="shared" si="255"/>
        <v>0</v>
      </c>
      <c r="G390" s="389">
        <f t="shared" si="255"/>
        <v>0</v>
      </c>
      <c r="H390" s="289">
        <f t="shared" si="250"/>
        <v>0</v>
      </c>
      <c r="I390" s="289">
        <f t="shared" si="254"/>
        <v>0</v>
      </c>
    </row>
    <row r="391" spans="1:10" hidden="1" x14ac:dyDescent="0.2">
      <c r="A391" s="385"/>
      <c r="B391" s="386" t="s">
        <v>147</v>
      </c>
      <c r="C391" s="387"/>
      <c r="D391" s="456"/>
      <c r="E391" s="456"/>
      <c r="F391" s="456"/>
      <c r="G391" s="456"/>
      <c r="H391" s="289">
        <f t="shared" si="250"/>
        <v>0</v>
      </c>
      <c r="I391" s="289">
        <f t="shared" si="254"/>
        <v>0</v>
      </c>
    </row>
    <row r="392" spans="1:10" hidden="1" x14ac:dyDescent="0.2">
      <c r="A392" s="195"/>
      <c r="B392" s="477"/>
      <c r="C392" s="269"/>
      <c r="D392" s="284"/>
      <c r="E392" s="189"/>
      <c r="F392" s="189"/>
      <c r="G392" s="285"/>
      <c r="H392" s="289"/>
      <c r="I392" s="289">
        <f t="shared" si="254"/>
        <v>0</v>
      </c>
    </row>
    <row r="393" spans="1:10" x14ac:dyDescent="0.2">
      <c r="A393" s="187">
        <v>1102</v>
      </c>
      <c r="B393" s="251" t="s">
        <v>103</v>
      </c>
      <c r="C393" s="193"/>
      <c r="D393" s="287">
        <f>D397+D412+D415+D436+D400+D403+D406+D409+D424+D427+D430+D433+D418+D421</f>
        <v>200563452.73999998</v>
      </c>
      <c r="E393" s="287">
        <f t="shared" ref="E393:G393" si="256">E397+E412+E415+E436+E400+E403+E406+E409+E424+E427+E430+E433+E418+E421</f>
        <v>200563452.73999998</v>
      </c>
      <c r="F393" s="287">
        <f t="shared" si="256"/>
        <v>87285782.620000005</v>
      </c>
      <c r="G393" s="287">
        <f t="shared" si="256"/>
        <v>1.2107193470001221E-8</v>
      </c>
      <c r="H393" s="289">
        <f t="shared" ref="H393:H480" si="257">IF(F393&gt;E393,1,0)</f>
        <v>0</v>
      </c>
      <c r="I393" s="289">
        <f t="shared" si="254"/>
        <v>0</v>
      </c>
    </row>
    <row r="394" spans="1:10" x14ac:dyDescent="0.2">
      <c r="A394" s="378"/>
      <c r="B394" s="379" t="s">
        <v>146</v>
      </c>
      <c r="C394" s="380"/>
      <c r="D394" s="505">
        <f>D398+D401+D404+D407+D410+D419+D422+D431+D434</f>
        <v>56833015.789999999</v>
      </c>
      <c r="E394" s="505">
        <f t="shared" ref="E394:G394" si="258">E398+E401+E404+E407+E410+E419+E422+E431+E434</f>
        <v>56833015.789999999</v>
      </c>
      <c r="F394" s="505">
        <f t="shared" si="258"/>
        <v>28757028.609999999</v>
      </c>
      <c r="G394" s="505">
        <f t="shared" si="258"/>
        <v>0</v>
      </c>
      <c r="H394" s="289">
        <f t="shared" si="257"/>
        <v>0</v>
      </c>
      <c r="I394" s="289">
        <f t="shared" si="254"/>
        <v>0</v>
      </c>
    </row>
    <row r="395" spans="1:10" x14ac:dyDescent="0.2">
      <c r="A395" s="378"/>
      <c r="B395" s="379" t="s">
        <v>147</v>
      </c>
      <c r="C395" s="380"/>
      <c r="D395" s="505">
        <f>D393-D394</f>
        <v>143730436.94999999</v>
      </c>
      <c r="E395" s="505">
        <f t="shared" ref="E395:G395" si="259">E393-E394</f>
        <v>143730436.94999999</v>
      </c>
      <c r="F395" s="505">
        <f t="shared" si="259"/>
        <v>58528754.010000005</v>
      </c>
      <c r="G395" s="505">
        <f t="shared" si="259"/>
        <v>1.2107193470001221E-8</v>
      </c>
      <c r="H395" s="289">
        <f t="shared" si="257"/>
        <v>0</v>
      </c>
      <c r="I395" s="289">
        <f t="shared" si="254"/>
        <v>0</v>
      </c>
    </row>
    <row r="396" spans="1:10" x14ac:dyDescent="0.2">
      <c r="A396" s="195"/>
      <c r="B396" s="476" t="s">
        <v>38</v>
      </c>
      <c r="C396" s="191"/>
      <c r="D396" s="286"/>
      <c r="E396" s="189"/>
      <c r="F396" s="189"/>
      <c r="G396" s="285"/>
      <c r="H396" s="289">
        <f t="shared" si="257"/>
        <v>0</v>
      </c>
      <c r="I396" s="289">
        <f t="shared" si="254"/>
        <v>0</v>
      </c>
    </row>
    <row r="397" spans="1:10" ht="127.5" x14ac:dyDescent="0.2">
      <c r="A397" s="195"/>
      <c r="B397" s="477" t="s">
        <v>561</v>
      </c>
      <c r="C397" s="144" t="s">
        <v>560</v>
      </c>
      <c r="D397" s="284">
        <v>5400000</v>
      </c>
      <c r="E397" s="201">
        <f>'Прочая  субсидия_МР  и  ГО'!D38</f>
        <v>5400000</v>
      </c>
      <c r="F397" s="201">
        <f>'Прочая  субсидия_МР  и  ГО'!E38</f>
        <v>2749372.51</v>
      </c>
      <c r="G397" s="285">
        <f>D397-E397</f>
        <v>0</v>
      </c>
      <c r="H397" s="289">
        <f t="shared" ref="H397:H405" si="260">IF(F397&gt;E397,1,0)</f>
        <v>0</v>
      </c>
      <c r="I397" s="289">
        <f t="shared" ref="I397:I405" si="261">IF(G397&lt;0,1,0)</f>
        <v>0</v>
      </c>
    </row>
    <row r="398" spans="1:10" x14ac:dyDescent="0.2">
      <c r="A398" s="385"/>
      <c r="B398" s="386" t="s">
        <v>146</v>
      </c>
      <c r="C398" s="387"/>
      <c r="D398" s="389">
        <f>D397</f>
        <v>5400000</v>
      </c>
      <c r="E398" s="389">
        <f>E397</f>
        <v>5400000</v>
      </c>
      <c r="F398" s="389">
        <f>F397</f>
        <v>2749372.51</v>
      </c>
      <c r="G398" s="389">
        <f>D398-E398</f>
        <v>0</v>
      </c>
      <c r="H398" s="289">
        <f t="shared" si="260"/>
        <v>0</v>
      </c>
      <c r="I398" s="289">
        <f t="shared" si="261"/>
        <v>0</v>
      </c>
    </row>
    <row r="399" spans="1:10" x14ac:dyDescent="0.2">
      <c r="A399" s="385"/>
      <c r="B399" s="386" t="s">
        <v>147</v>
      </c>
      <c r="C399" s="387"/>
      <c r="D399" s="389"/>
      <c r="E399" s="389"/>
      <c r="F399" s="389"/>
      <c r="G399" s="389">
        <f>D399-E399</f>
        <v>0</v>
      </c>
      <c r="H399" s="289">
        <f t="shared" si="260"/>
        <v>0</v>
      </c>
      <c r="I399" s="289">
        <f t="shared" si="261"/>
        <v>0</v>
      </c>
    </row>
    <row r="400" spans="1:10" ht="229.5" x14ac:dyDescent="0.2">
      <c r="A400" s="1037"/>
      <c r="B400" s="477" t="s">
        <v>562</v>
      </c>
      <c r="C400" s="144" t="s">
        <v>444</v>
      </c>
      <c r="D400" s="284">
        <v>5891036.9500000002</v>
      </c>
      <c r="E400" s="201">
        <f>'Проверочная  таблица'!NL37</f>
        <v>5891036.9499999881</v>
      </c>
      <c r="F400" s="201">
        <f>'Проверочная  таблица'!NO37</f>
        <v>1630952.8099999949</v>
      </c>
      <c r="G400" s="285">
        <f t="shared" ref="G400" si="262">D400-E400</f>
        <v>1.2107193470001221E-8</v>
      </c>
      <c r="H400" s="289">
        <f t="shared" si="260"/>
        <v>0</v>
      </c>
      <c r="I400" s="289">
        <f t="shared" si="261"/>
        <v>0</v>
      </c>
      <c r="J400" s="1523">
        <f>D400+D403</f>
        <v>143730436.94999999</v>
      </c>
    </row>
    <row r="401" spans="1:10" x14ac:dyDescent="0.2">
      <c r="A401" s="385"/>
      <c r="B401" s="386" t="s">
        <v>146</v>
      </c>
      <c r="C401" s="387"/>
      <c r="D401" s="389"/>
      <c r="E401" s="389"/>
      <c r="F401" s="389"/>
      <c r="G401" s="389"/>
      <c r="H401" s="289">
        <f t="shared" si="260"/>
        <v>0</v>
      </c>
      <c r="I401" s="289">
        <f t="shared" si="261"/>
        <v>0</v>
      </c>
    </row>
    <row r="402" spans="1:10" x14ac:dyDescent="0.2">
      <c r="A402" s="385"/>
      <c r="B402" s="386" t="s">
        <v>147</v>
      </c>
      <c r="C402" s="387"/>
      <c r="D402" s="389">
        <f>D400</f>
        <v>5891036.9500000002</v>
      </c>
      <c r="E402" s="389">
        <f t="shared" ref="E402:G402" si="263">E400</f>
        <v>5891036.9499999881</v>
      </c>
      <c r="F402" s="389">
        <f t="shared" si="263"/>
        <v>1630952.8099999949</v>
      </c>
      <c r="G402" s="389">
        <f t="shared" si="263"/>
        <v>1.2107193470001221E-8</v>
      </c>
      <c r="H402" s="289">
        <f t="shared" si="260"/>
        <v>0</v>
      </c>
      <c r="I402" s="289">
        <f t="shared" si="261"/>
        <v>0</v>
      </c>
      <c r="J402" s="1523"/>
    </row>
    <row r="403" spans="1:10" x14ac:dyDescent="0.2">
      <c r="A403" s="692"/>
      <c r="B403" s="693" t="s">
        <v>58</v>
      </c>
      <c r="C403" s="681" t="s">
        <v>444</v>
      </c>
      <c r="D403" s="694">
        <v>137839400</v>
      </c>
      <c r="E403" s="691">
        <f>'Проверочная  таблица'!NM37</f>
        <v>137839400</v>
      </c>
      <c r="F403" s="691">
        <f>'Проверочная  таблица'!NP37</f>
        <v>56897801.200000003</v>
      </c>
      <c r="G403" s="695">
        <f t="shared" ref="G403" si="264">D403-E403</f>
        <v>0</v>
      </c>
      <c r="H403" s="289">
        <f t="shared" si="260"/>
        <v>0</v>
      </c>
      <c r="I403" s="289">
        <f t="shared" si="261"/>
        <v>0</v>
      </c>
    </row>
    <row r="404" spans="1:10" x14ac:dyDescent="0.2">
      <c r="A404" s="692"/>
      <c r="B404" s="696" t="s">
        <v>146</v>
      </c>
      <c r="C404" s="697"/>
      <c r="D404" s="695"/>
      <c r="E404" s="695"/>
      <c r="F404" s="695"/>
      <c r="G404" s="695"/>
      <c r="H404" s="289">
        <f t="shared" si="260"/>
        <v>0</v>
      </c>
      <c r="I404" s="289">
        <f t="shared" si="261"/>
        <v>0</v>
      </c>
    </row>
    <row r="405" spans="1:10" x14ac:dyDescent="0.2">
      <c r="A405" s="692"/>
      <c r="B405" s="696" t="s">
        <v>147</v>
      </c>
      <c r="C405" s="697"/>
      <c r="D405" s="695">
        <f>D403</f>
        <v>137839400</v>
      </c>
      <c r="E405" s="695">
        <f t="shared" ref="E405:G405" si="265">E403</f>
        <v>137839400</v>
      </c>
      <c r="F405" s="695">
        <f t="shared" si="265"/>
        <v>56897801.200000003</v>
      </c>
      <c r="G405" s="695">
        <f t="shared" si="265"/>
        <v>0</v>
      </c>
      <c r="H405" s="289">
        <f t="shared" si="260"/>
        <v>0</v>
      </c>
      <c r="I405" s="289">
        <f t="shared" si="261"/>
        <v>0</v>
      </c>
    </row>
    <row r="406" spans="1:10" ht="229.5" x14ac:dyDescent="0.2">
      <c r="A406" s="249"/>
      <c r="B406" s="481" t="s">
        <v>501</v>
      </c>
      <c r="C406" s="144" t="s">
        <v>421</v>
      </c>
      <c r="D406" s="284">
        <f>121350*2</f>
        <v>242700</v>
      </c>
      <c r="E406" s="201">
        <f>'Проверочная  таблица'!EL37</f>
        <v>242700</v>
      </c>
      <c r="F406" s="201">
        <f>'Проверочная  таблица'!ES37</f>
        <v>24067.02</v>
      </c>
      <c r="G406" s="285">
        <f>D406-E406</f>
        <v>0</v>
      </c>
      <c r="H406" s="289">
        <f t="shared" ref="H406:H411" si="266">IF(F406&gt;E406,1,0)</f>
        <v>0</v>
      </c>
      <c r="I406" s="289">
        <f t="shared" ref="I406:I411" si="267">IF(G406&lt;0,1,0)</f>
        <v>0</v>
      </c>
      <c r="J406" s="1523">
        <f>D406+D409</f>
        <v>4854000</v>
      </c>
    </row>
    <row r="407" spans="1:10" x14ac:dyDescent="0.2">
      <c r="A407" s="385"/>
      <c r="B407" s="386" t="s">
        <v>146</v>
      </c>
      <c r="C407" s="387"/>
      <c r="D407" s="389">
        <f>D406</f>
        <v>242700</v>
      </c>
      <c r="E407" s="389">
        <f>E406</f>
        <v>242700</v>
      </c>
      <c r="F407" s="389">
        <f t="shared" ref="F407:G407" si="268">F406</f>
        <v>24067.02</v>
      </c>
      <c r="G407" s="389">
        <f t="shared" si="268"/>
        <v>0</v>
      </c>
      <c r="H407" s="289">
        <f t="shared" si="266"/>
        <v>0</v>
      </c>
      <c r="I407" s="289">
        <f t="shared" si="267"/>
        <v>0</v>
      </c>
    </row>
    <row r="408" spans="1:10" x14ac:dyDescent="0.2">
      <c r="A408" s="385"/>
      <c r="B408" s="386" t="s">
        <v>147</v>
      </c>
      <c r="C408" s="387"/>
      <c r="D408" s="389"/>
      <c r="E408" s="389"/>
      <c r="F408" s="389"/>
      <c r="G408" s="389"/>
      <c r="H408" s="289">
        <f t="shared" si="266"/>
        <v>0</v>
      </c>
      <c r="I408" s="289">
        <f t="shared" si="267"/>
        <v>0</v>
      </c>
      <c r="J408" s="1523"/>
    </row>
    <row r="409" spans="1:10" x14ac:dyDescent="0.2">
      <c r="A409" s="692"/>
      <c r="B409" s="693" t="s">
        <v>58</v>
      </c>
      <c r="C409" s="681" t="s">
        <v>421</v>
      </c>
      <c r="D409" s="694">
        <f>2305650*2</f>
        <v>4611300</v>
      </c>
      <c r="E409" s="691">
        <f>'Проверочная  таблица'!EM37</f>
        <v>4611300</v>
      </c>
      <c r="F409" s="691">
        <f>'Проверочная  таблица'!ET37</f>
        <v>457273.29</v>
      </c>
      <c r="G409" s="695">
        <f>D409-E409</f>
        <v>0</v>
      </c>
      <c r="H409" s="289">
        <f t="shared" si="266"/>
        <v>0</v>
      </c>
      <c r="I409" s="289">
        <f t="shared" si="267"/>
        <v>0</v>
      </c>
    </row>
    <row r="410" spans="1:10" x14ac:dyDescent="0.2">
      <c r="A410" s="692"/>
      <c r="B410" s="696" t="s">
        <v>146</v>
      </c>
      <c r="C410" s="697"/>
      <c r="D410" s="695">
        <f>D409</f>
        <v>4611300</v>
      </c>
      <c r="E410" s="695">
        <f>E409</f>
        <v>4611300</v>
      </c>
      <c r="F410" s="695">
        <f t="shared" ref="F410:G410" si="269">F409</f>
        <v>457273.29</v>
      </c>
      <c r="G410" s="695">
        <f t="shared" si="269"/>
        <v>0</v>
      </c>
      <c r="H410" s="289">
        <f t="shared" si="266"/>
        <v>0</v>
      </c>
      <c r="I410" s="289">
        <f t="shared" si="267"/>
        <v>0</v>
      </c>
    </row>
    <row r="411" spans="1:10" x14ac:dyDescent="0.2">
      <c r="A411" s="692"/>
      <c r="B411" s="696" t="s">
        <v>147</v>
      </c>
      <c r="C411" s="697"/>
      <c r="D411" s="695"/>
      <c r="E411" s="695"/>
      <c r="F411" s="695"/>
      <c r="G411" s="695"/>
      <c r="H411" s="289">
        <f t="shared" si="266"/>
        <v>0</v>
      </c>
      <c r="I411" s="289">
        <f t="shared" si="267"/>
        <v>0</v>
      </c>
    </row>
    <row r="412" spans="1:10" ht="165.75" hidden="1" x14ac:dyDescent="0.2">
      <c r="A412" s="1139"/>
      <c r="B412" s="477" t="s">
        <v>422</v>
      </c>
      <c r="C412" s="144" t="s">
        <v>452</v>
      </c>
      <c r="D412" s="284"/>
      <c r="E412" s="201">
        <f>'Проверочная  таблица'!EN37</f>
        <v>0</v>
      </c>
      <c r="F412" s="201">
        <f>'Проверочная  таблица'!EU37</f>
        <v>0</v>
      </c>
      <c r="G412" s="285">
        <f t="shared" ref="G412:G415" si="270">D412-E412</f>
        <v>0</v>
      </c>
      <c r="H412" s="289">
        <f t="shared" ref="H412:H438" si="271">IF(F412&gt;E412,1,0)</f>
        <v>0</v>
      </c>
      <c r="I412" s="289">
        <f t="shared" ref="I412:I438" si="272">IF(G412&lt;0,1,0)</f>
        <v>0</v>
      </c>
      <c r="J412" s="1523">
        <f>D412+D415</f>
        <v>0</v>
      </c>
    </row>
    <row r="413" spans="1:10" hidden="1" x14ac:dyDescent="0.2">
      <c r="A413" s="385"/>
      <c r="B413" s="386" t="s">
        <v>146</v>
      </c>
      <c r="C413" s="387"/>
      <c r="D413" s="389">
        <f>D412</f>
        <v>0</v>
      </c>
      <c r="E413" s="389">
        <f t="shared" ref="E413:G413" si="273">E412</f>
        <v>0</v>
      </c>
      <c r="F413" s="389">
        <f t="shared" si="273"/>
        <v>0</v>
      </c>
      <c r="G413" s="389">
        <f t="shared" si="273"/>
        <v>0</v>
      </c>
      <c r="H413" s="289">
        <f t="shared" si="271"/>
        <v>0</v>
      </c>
      <c r="I413" s="289">
        <f t="shared" si="272"/>
        <v>0</v>
      </c>
    </row>
    <row r="414" spans="1:10" hidden="1" x14ac:dyDescent="0.2">
      <c r="A414" s="385"/>
      <c r="B414" s="386" t="s">
        <v>147</v>
      </c>
      <c r="C414" s="387"/>
      <c r="D414" s="389"/>
      <c r="E414" s="389"/>
      <c r="F414" s="389"/>
      <c r="G414" s="389"/>
      <c r="H414" s="289">
        <f t="shared" si="271"/>
        <v>0</v>
      </c>
      <c r="I414" s="289">
        <f t="shared" si="272"/>
        <v>0</v>
      </c>
    </row>
    <row r="415" spans="1:10" hidden="1" x14ac:dyDescent="0.2">
      <c r="A415" s="692"/>
      <c r="B415" s="693" t="s">
        <v>58</v>
      </c>
      <c r="C415" s="681" t="s">
        <v>452</v>
      </c>
      <c r="D415" s="694"/>
      <c r="E415" s="691">
        <f>'Проверочная  таблица'!EO37</f>
        <v>0</v>
      </c>
      <c r="F415" s="691">
        <f>'Проверочная  таблица'!EV37</f>
        <v>0</v>
      </c>
      <c r="G415" s="695">
        <f t="shared" si="270"/>
        <v>0</v>
      </c>
      <c r="H415" s="289">
        <f t="shared" si="271"/>
        <v>0</v>
      </c>
      <c r="I415" s="289">
        <f t="shared" si="272"/>
        <v>0</v>
      </c>
    </row>
    <row r="416" spans="1:10" hidden="1" x14ac:dyDescent="0.2">
      <c r="A416" s="692"/>
      <c r="B416" s="696" t="s">
        <v>146</v>
      </c>
      <c r="C416" s="697"/>
      <c r="D416" s="695">
        <f>D415</f>
        <v>0</v>
      </c>
      <c r="E416" s="695">
        <f t="shared" ref="E416:G416" si="274">E415</f>
        <v>0</v>
      </c>
      <c r="F416" s="695">
        <f t="shared" si="274"/>
        <v>0</v>
      </c>
      <c r="G416" s="695">
        <f t="shared" si="274"/>
        <v>0</v>
      </c>
      <c r="H416" s="289">
        <f t="shared" si="271"/>
        <v>0</v>
      </c>
      <c r="I416" s="289">
        <f t="shared" si="272"/>
        <v>0</v>
      </c>
    </row>
    <row r="417" spans="1:10" hidden="1" x14ac:dyDescent="0.2">
      <c r="A417" s="692"/>
      <c r="B417" s="696" t="s">
        <v>147</v>
      </c>
      <c r="C417" s="697"/>
      <c r="D417" s="695"/>
      <c r="E417" s="695"/>
      <c r="F417" s="695"/>
      <c r="G417" s="695"/>
      <c r="H417" s="289">
        <f t="shared" si="271"/>
        <v>0</v>
      </c>
      <c r="I417" s="289">
        <f t="shared" si="272"/>
        <v>0</v>
      </c>
    </row>
    <row r="418" spans="1:10" ht="229.5" x14ac:dyDescent="0.2">
      <c r="A418" s="249"/>
      <c r="B418" s="477" t="s">
        <v>823</v>
      </c>
      <c r="C418" s="144" t="s">
        <v>814</v>
      </c>
      <c r="D418" s="284">
        <v>1052700</v>
      </c>
      <c r="E418" s="201">
        <f>'Проверочная  таблица'!EP37</f>
        <v>1052700</v>
      </c>
      <c r="F418" s="201">
        <f>'Проверочная  таблица'!EW37</f>
        <v>0</v>
      </c>
      <c r="G418" s="285">
        <f t="shared" ref="G418" si="275">D418-E418</f>
        <v>0</v>
      </c>
      <c r="H418" s="289">
        <f t="shared" si="271"/>
        <v>0</v>
      </c>
      <c r="I418" s="289">
        <f t="shared" si="272"/>
        <v>0</v>
      </c>
      <c r="J418" s="1523">
        <f>D418+D421</f>
        <v>21052700</v>
      </c>
    </row>
    <row r="419" spans="1:10" x14ac:dyDescent="0.2">
      <c r="A419" s="385"/>
      <c r="B419" s="386" t="s">
        <v>146</v>
      </c>
      <c r="C419" s="387"/>
      <c r="D419" s="389">
        <f>D418</f>
        <v>1052700</v>
      </c>
      <c r="E419" s="389">
        <f t="shared" ref="E419:G419" si="276">E418</f>
        <v>1052700</v>
      </c>
      <c r="F419" s="389">
        <f t="shared" si="276"/>
        <v>0</v>
      </c>
      <c r="G419" s="389">
        <f t="shared" si="276"/>
        <v>0</v>
      </c>
      <c r="H419" s="289">
        <f t="shared" si="271"/>
        <v>0</v>
      </c>
      <c r="I419" s="289">
        <f t="shared" si="272"/>
        <v>0</v>
      </c>
    </row>
    <row r="420" spans="1:10" x14ac:dyDescent="0.2">
      <c r="A420" s="385"/>
      <c r="B420" s="386" t="s">
        <v>147</v>
      </c>
      <c r="C420" s="387"/>
      <c r="D420" s="389"/>
      <c r="E420" s="389"/>
      <c r="F420" s="389"/>
      <c r="G420" s="389"/>
      <c r="H420" s="289">
        <f t="shared" si="271"/>
        <v>0</v>
      </c>
      <c r="I420" s="289">
        <f t="shared" si="272"/>
        <v>0</v>
      </c>
    </row>
    <row r="421" spans="1:10" x14ac:dyDescent="0.2">
      <c r="A421" s="692"/>
      <c r="B421" s="693" t="s">
        <v>58</v>
      </c>
      <c r="C421" s="681" t="s">
        <v>814</v>
      </c>
      <c r="D421" s="694">
        <v>20000000</v>
      </c>
      <c r="E421" s="691">
        <f>'Проверочная  таблица'!EQ37</f>
        <v>20000000</v>
      </c>
      <c r="F421" s="691">
        <f>'Проверочная  таблица'!EX37</f>
        <v>0</v>
      </c>
      <c r="G421" s="695">
        <f t="shared" ref="G421" si="277">D421-E421</f>
        <v>0</v>
      </c>
      <c r="H421" s="289">
        <f t="shared" si="271"/>
        <v>0</v>
      </c>
      <c r="I421" s="289">
        <f t="shared" si="272"/>
        <v>0</v>
      </c>
    </row>
    <row r="422" spans="1:10" x14ac:dyDescent="0.2">
      <c r="A422" s="692"/>
      <c r="B422" s="696" t="s">
        <v>146</v>
      </c>
      <c r="C422" s="697"/>
      <c r="D422" s="695">
        <f>D421</f>
        <v>20000000</v>
      </c>
      <c r="E422" s="695">
        <f t="shared" ref="E422:G422" si="278">E421</f>
        <v>20000000</v>
      </c>
      <c r="F422" s="695">
        <f t="shared" si="278"/>
        <v>0</v>
      </c>
      <c r="G422" s="695">
        <f t="shared" si="278"/>
        <v>0</v>
      </c>
      <c r="H422" s="289">
        <f t="shared" si="271"/>
        <v>0</v>
      </c>
      <c r="I422" s="289">
        <f t="shared" si="272"/>
        <v>0</v>
      </c>
    </row>
    <row r="423" spans="1:10" x14ac:dyDescent="0.2">
      <c r="A423" s="692"/>
      <c r="B423" s="696" t="s">
        <v>147</v>
      </c>
      <c r="C423" s="697"/>
      <c r="D423" s="695"/>
      <c r="E423" s="695"/>
      <c r="F423" s="695"/>
      <c r="G423" s="695"/>
      <c r="H423" s="289">
        <f t="shared" si="271"/>
        <v>0</v>
      </c>
      <c r="I423" s="289">
        <f t="shared" si="272"/>
        <v>0</v>
      </c>
    </row>
    <row r="424" spans="1:10" ht="178.5" hidden="1" x14ac:dyDescent="0.2">
      <c r="A424" s="1139"/>
      <c r="B424" s="477" t="s">
        <v>520</v>
      </c>
      <c r="C424" s="144" t="s">
        <v>519</v>
      </c>
      <c r="D424" s="284"/>
      <c r="E424" s="201"/>
      <c r="F424" s="201"/>
      <c r="G424" s="285">
        <f t="shared" ref="G424" si="279">D424-E424</f>
        <v>0</v>
      </c>
      <c r="H424" s="289">
        <f t="shared" ref="H424:H429" si="280">IF(F424&gt;E424,1,0)</f>
        <v>0</v>
      </c>
      <c r="I424" s="289">
        <f t="shared" ref="I424:I429" si="281">IF(G424&lt;0,1,0)</f>
        <v>0</v>
      </c>
      <c r="J424" s="1523">
        <f>D424+D427</f>
        <v>0</v>
      </c>
    </row>
    <row r="425" spans="1:10" hidden="1" x14ac:dyDescent="0.2">
      <c r="A425" s="385"/>
      <c r="B425" s="386" t="s">
        <v>146</v>
      </c>
      <c r="C425" s="387"/>
      <c r="D425" s="389"/>
      <c r="E425" s="389"/>
      <c r="F425" s="389"/>
      <c r="G425" s="389"/>
      <c r="H425" s="289">
        <f t="shared" si="280"/>
        <v>0</v>
      </c>
      <c r="I425" s="289">
        <f t="shared" si="281"/>
        <v>0</v>
      </c>
    </row>
    <row r="426" spans="1:10" hidden="1" x14ac:dyDescent="0.2">
      <c r="A426" s="385"/>
      <c r="B426" s="386" t="s">
        <v>147</v>
      </c>
      <c r="C426" s="387"/>
      <c r="D426" s="389">
        <f>D424</f>
        <v>0</v>
      </c>
      <c r="E426" s="389">
        <f t="shared" ref="E426:G426" si="282">E424</f>
        <v>0</v>
      </c>
      <c r="F426" s="389">
        <f t="shared" si="282"/>
        <v>0</v>
      </c>
      <c r="G426" s="389">
        <f t="shared" si="282"/>
        <v>0</v>
      </c>
      <c r="H426" s="289">
        <f t="shared" si="280"/>
        <v>0</v>
      </c>
      <c r="I426" s="289">
        <f t="shared" si="281"/>
        <v>0</v>
      </c>
    </row>
    <row r="427" spans="1:10" hidden="1" x14ac:dyDescent="0.2">
      <c r="A427" s="692"/>
      <c r="B427" s="693" t="s">
        <v>58</v>
      </c>
      <c r="C427" s="681" t="s">
        <v>519</v>
      </c>
      <c r="D427" s="694"/>
      <c r="E427" s="691"/>
      <c r="F427" s="691"/>
      <c r="G427" s="695">
        <f t="shared" ref="G427" si="283">D427-E427</f>
        <v>0</v>
      </c>
      <c r="H427" s="289">
        <f t="shared" si="280"/>
        <v>0</v>
      </c>
      <c r="I427" s="289">
        <f t="shared" si="281"/>
        <v>0</v>
      </c>
    </row>
    <row r="428" spans="1:10" hidden="1" x14ac:dyDescent="0.2">
      <c r="A428" s="692"/>
      <c r="B428" s="696" t="s">
        <v>146</v>
      </c>
      <c r="C428" s="697"/>
      <c r="D428" s="695"/>
      <c r="E428" s="695"/>
      <c r="F428" s="695"/>
      <c r="G428" s="695"/>
      <c r="H428" s="289">
        <f t="shared" si="280"/>
        <v>0</v>
      </c>
      <c r="I428" s="289">
        <f t="shared" si="281"/>
        <v>0</v>
      </c>
    </row>
    <row r="429" spans="1:10" hidden="1" x14ac:dyDescent="0.2">
      <c r="A429" s="692"/>
      <c r="B429" s="696" t="s">
        <v>147</v>
      </c>
      <c r="C429" s="697"/>
      <c r="D429" s="695">
        <f>D427</f>
        <v>0</v>
      </c>
      <c r="E429" s="695">
        <f t="shared" ref="E429:G429" si="284">E427</f>
        <v>0</v>
      </c>
      <c r="F429" s="695">
        <f t="shared" si="284"/>
        <v>0</v>
      </c>
      <c r="G429" s="695">
        <f t="shared" si="284"/>
        <v>0</v>
      </c>
      <c r="H429" s="289">
        <f t="shared" si="280"/>
        <v>0</v>
      </c>
      <c r="I429" s="289">
        <f t="shared" si="281"/>
        <v>0</v>
      </c>
    </row>
    <row r="430" spans="1:10" s="801" customFormat="1" ht="191.25" x14ac:dyDescent="0.2">
      <c r="A430" s="1037"/>
      <c r="B430" s="481" t="s">
        <v>504</v>
      </c>
      <c r="C430" s="144" t="s">
        <v>448</v>
      </c>
      <c r="D430" s="284">
        <v>526315.79</v>
      </c>
      <c r="E430" s="201">
        <f>'Проверочная  таблица'!EZ37</f>
        <v>526315.79</v>
      </c>
      <c r="F430" s="201">
        <f>'Проверочная  таблица'!FC37</f>
        <v>526315.79</v>
      </c>
      <c r="G430" s="285">
        <f t="shared" ref="G430:G435" si="285">D430-E430</f>
        <v>0</v>
      </c>
      <c r="H430" s="289">
        <f t="shared" ref="H430:H435" si="286">IF(F430&gt;E430,1,0)</f>
        <v>0</v>
      </c>
      <c r="I430" s="289">
        <f t="shared" ref="I430:I435" si="287">IF(G430&lt;0,1,0)</f>
        <v>0</v>
      </c>
      <c r="J430" s="1523">
        <f>D430+D433</f>
        <v>25526315.789999999</v>
      </c>
    </row>
    <row r="431" spans="1:10" s="801" customFormat="1" x14ac:dyDescent="0.2">
      <c r="A431" s="385"/>
      <c r="B431" s="386" t="s">
        <v>146</v>
      </c>
      <c r="C431" s="387"/>
      <c r="D431" s="389">
        <f>D430</f>
        <v>526315.79</v>
      </c>
      <c r="E431" s="389">
        <f t="shared" ref="E431:F431" si="288">E430</f>
        <v>526315.79</v>
      </c>
      <c r="F431" s="389">
        <f t="shared" si="288"/>
        <v>526315.79</v>
      </c>
      <c r="G431" s="389">
        <f t="shared" si="285"/>
        <v>0</v>
      </c>
      <c r="H431" s="289">
        <f t="shared" si="286"/>
        <v>0</v>
      </c>
      <c r="I431" s="289">
        <f t="shared" si="287"/>
        <v>0</v>
      </c>
      <c r="J431" s="1310"/>
    </row>
    <row r="432" spans="1:10" s="801" customFormat="1" x14ac:dyDescent="0.2">
      <c r="A432" s="385"/>
      <c r="B432" s="386" t="s">
        <v>147</v>
      </c>
      <c r="C432" s="387"/>
      <c r="D432" s="389"/>
      <c r="E432" s="389"/>
      <c r="F432" s="389"/>
      <c r="G432" s="389">
        <f t="shared" si="285"/>
        <v>0</v>
      </c>
      <c r="H432" s="289">
        <f t="shared" si="286"/>
        <v>0</v>
      </c>
      <c r="I432" s="289">
        <f t="shared" si="287"/>
        <v>0</v>
      </c>
      <c r="J432" s="1523"/>
    </row>
    <row r="433" spans="1:10" s="801" customFormat="1" x14ac:dyDescent="0.2">
      <c r="A433" s="692"/>
      <c r="B433" s="693" t="s">
        <v>58</v>
      </c>
      <c r="C433" s="681" t="s">
        <v>448</v>
      </c>
      <c r="D433" s="694">
        <v>25000000</v>
      </c>
      <c r="E433" s="691">
        <f>'Проверочная  таблица'!FA37</f>
        <v>25000000</v>
      </c>
      <c r="F433" s="691">
        <f>'Проверочная  таблица'!FD37</f>
        <v>25000000</v>
      </c>
      <c r="G433" s="695">
        <f t="shared" ref="G433" si="289">D433-E433</f>
        <v>0</v>
      </c>
      <c r="H433" s="289">
        <f t="shared" si="286"/>
        <v>0</v>
      </c>
      <c r="I433" s="289">
        <f t="shared" si="287"/>
        <v>0</v>
      </c>
      <c r="J433" s="1310"/>
    </row>
    <row r="434" spans="1:10" s="801" customFormat="1" x14ac:dyDescent="0.2">
      <c r="A434" s="692"/>
      <c r="B434" s="696" t="s">
        <v>146</v>
      </c>
      <c r="C434" s="697"/>
      <c r="D434" s="695">
        <f>D433</f>
        <v>25000000</v>
      </c>
      <c r="E434" s="695">
        <f t="shared" ref="E434:F434" si="290">E433</f>
        <v>25000000</v>
      </c>
      <c r="F434" s="695">
        <f t="shared" si="290"/>
        <v>25000000</v>
      </c>
      <c r="G434" s="695">
        <f t="shared" si="285"/>
        <v>0</v>
      </c>
      <c r="H434" s="289">
        <f t="shared" si="286"/>
        <v>0</v>
      </c>
      <c r="I434" s="289">
        <f t="shared" si="287"/>
        <v>0</v>
      </c>
      <c r="J434" s="1310"/>
    </row>
    <row r="435" spans="1:10" s="801" customFormat="1" x14ac:dyDescent="0.2">
      <c r="A435" s="692"/>
      <c r="B435" s="696" t="s">
        <v>147</v>
      </c>
      <c r="C435" s="697"/>
      <c r="D435" s="695"/>
      <c r="E435" s="695"/>
      <c r="F435" s="695"/>
      <c r="G435" s="695">
        <f t="shared" si="285"/>
        <v>0</v>
      </c>
      <c r="H435" s="289">
        <f t="shared" si="286"/>
        <v>0</v>
      </c>
      <c r="I435" s="289">
        <f t="shared" si="287"/>
        <v>0</v>
      </c>
      <c r="J435" s="1310"/>
    </row>
    <row r="436" spans="1:10" s="801" customFormat="1" ht="165.75" hidden="1" x14ac:dyDescent="0.2">
      <c r="A436" s="916"/>
      <c r="B436" s="477" t="s">
        <v>221</v>
      </c>
      <c r="C436" s="144" t="s">
        <v>199</v>
      </c>
      <c r="D436" s="284"/>
      <c r="E436" s="450">
        <f>D436</f>
        <v>0</v>
      </c>
      <c r="F436" s="390"/>
      <c r="G436" s="285">
        <f t="shared" ref="G436:G438" si="291">D436-E436</f>
        <v>0</v>
      </c>
      <c r="H436" s="289">
        <f t="shared" si="271"/>
        <v>0</v>
      </c>
      <c r="I436" s="289">
        <f t="shared" si="272"/>
        <v>0</v>
      </c>
      <c r="J436" s="1524"/>
    </row>
    <row r="437" spans="1:10" s="801" customFormat="1" hidden="1" x14ac:dyDescent="0.2">
      <c r="A437" s="385"/>
      <c r="B437" s="386" t="s">
        <v>146</v>
      </c>
      <c r="C437" s="387"/>
      <c r="D437" s="389">
        <f>D436-D438</f>
        <v>0</v>
      </c>
      <c r="E437" s="389">
        <f t="shared" ref="E437:F437" si="292">E436-E438</f>
        <v>0</v>
      </c>
      <c r="F437" s="389">
        <f t="shared" si="292"/>
        <v>0</v>
      </c>
      <c r="G437" s="389">
        <f t="shared" si="291"/>
        <v>0</v>
      </c>
      <c r="H437" s="289">
        <f t="shared" si="271"/>
        <v>0</v>
      </c>
      <c r="I437" s="289">
        <f t="shared" si="272"/>
        <v>0</v>
      </c>
      <c r="J437" s="1524"/>
    </row>
    <row r="438" spans="1:10" s="801" customFormat="1" hidden="1" x14ac:dyDescent="0.2">
      <c r="A438" s="385"/>
      <c r="B438" s="386" t="s">
        <v>147</v>
      </c>
      <c r="C438" s="387"/>
      <c r="D438" s="388"/>
      <c r="E438" s="456">
        <f>D438</f>
        <v>0</v>
      </c>
      <c r="F438" s="388"/>
      <c r="G438" s="389">
        <f t="shared" si="291"/>
        <v>0</v>
      </c>
      <c r="H438" s="289">
        <f t="shared" si="271"/>
        <v>0</v>
      </c>
      <c r="I438" s="289">
        <f t="shared" si="272"/>
        <v>0</v>
      </c>
      <c r="J438" s="1524"/>
    </row>
    <row r="439" spans="1:10" s="801" customFormat="1" x14ac:dyDescent="0.2">
      <c r="A439" s="249"/>
      <c r="B439" s="370"/>
      <c r="C439" s="269"/>
      <c r="D439" s="483"/>
      <c r="E439" s="483"/>
      <c r="F439" s="483"/>
      <c r="G439" s="483"/>
      <c r="H439" s="484"/>
      <c r="I439" s="484"/>
      <c r="J439" s="1526"/>
    </row>
    <row r="440" spans="1:10" s="801" customFormat="1" x14ac:dyDescent="0.2">
      <c r="A440" s="187">
        <v>1103</v>
      </c>
      <c r="B440" s="251" t="s">
        <v>312</v>
      </c>
      <c r="C440" s="193"/>
      <c r="D440" s="287">
        <f>D444</f>
        <v>2100000</v>
      </c>
      <c r="E440" s="287">
        <f t="shared" ref="E440:G440" si="293">E444</f>
        <v>2100000</v>
      </c>
      <c r="F440" s="287">
        <f t="shared" si="293"/>
        <v>2100000</v>
      </c>
      <c r="G440" s="287">
        <f t="shared" si="293"/>
        <v>0</v>
      </c>
      <c r="H440" s="289">
        <f t="shared" ref="H440:H443" si="294">IF(F440&gt;E440,1,0)</f>
        <v>0</v>
      </c>
      <c r="I440" s="289">
        <f t="shared" ref="I440:I443" si="295">IF(G440&lt;0,1,0)</f>
        <v>0</v>
      </c>
      <c r="J440" s="1526"/>
    </row>
    <row r="441" spans="1:10" s="801" customFormat="1" x14ac:dyDescent="0.2">
      <c r="A441" s="378"/>
      <c r="B441" s="379" t="s">
        <v>146</v>
      </c>
      <c r="C441" s="380"/>
      <c r="D441" s="505">
        <f t="shared" ref="D441:G442" si="296">D445</f>
        <v>2100000</v>
      </c>
      <c r="E441" s="505">
        <f t="shared" si="296"/>
        <v>2100000</v>
      </c>
      <c r="F441" s="505">
        <f t="shared" si="296"/>
        <v>2100000</v>
      </c>
      <c r="G441" s="505">
        <f t="shared" si="296"/>
        <v>0</v>
      </c>
      <c r="H441" s="289">
        <f t="shared" si="294"/>
        <v>0</v>
      </c>
      <c r="I441" s="289">
        <f t="shared" si="295"/>
        <v>0</v>
      </c>
      <c r="J441" s="1526"/>
    </row>
    <row r="442" spans="1:10" s="801" customFormat="1" x14ac:dyDescent="0.2">
      <c r="A442" s="378"/>
      <c r="B442" s="379" t="s">
        <v>147</v>
      </c>
      <c r="C442" s="380"/>
      <c r="D442" s="505">
        <f t="shared" si="296"/>
        <v>0</v>
      </c>
      <c r="E442" s="505">
        <f t="shared" si="296"/>
        <v>0</v>
      </c>
      <c r="F442" s="505">
        <f t="shared" si="296"/>
        <v>0</v>
      </c>
      <c r="G442" s="505">
        <f t="shared" si="296"/>
        <v>0</v>
      </c>
      <c r="H442" s="289">
        <f t="shared" si="294"/>
        <v>0</v>
      </c>
      <c r="I442" s="289">
        <f t="shared" si="295"/>
        <v>0</v>
      </c>
      <c r="J442" s="1526"/>
    </row>
    <row r="443" spans="1:10" s="801" customFormat="1" x14ac:dyDescent="0.2">
      <c r="A443" s="985"/>
      <c r="B443" s="476" t="s">
        <v>38</v>
      </c>
      <c r="C443" s="191"/>
      <c r="D443" s="286"/>
      <c r="E443" s="189"/>
      <c r="F443" s="189"/>
      <c r="G443" s="285"/>
      <c r="H443" s="289">
        <f t="shared" si="294"/>
        <v>0</v>
      </c>
      <c r="I443" s="289">
        <f t="shared" si="295"/>
        <v>0</v>
      </c>
      <c r="J443" s="1526"/>
    </row>
    <row r="444" spans="1:10" s="801" customFormat="1" ht="178.5" x14ac:dyDescent="0.2">
      <c r="A444" s="1092"/>
      <c r="B444" s="481" t="s">
        <v>518</v>
      </c>
      <c r="C444" s="144" t="s">
        <v>517</v>
      </c>
      <c r="D444" s="284">
        <v>2100000</v>
      </c>
      <c r="E444" s="201">
        <f>'Прочая  субсидия_МР  и  ГО'!F38</f>
        <v>2100000</v>
      </c>
      <c r="F444" s="201">
        <f>'Прочая  субсидия_МР  и  ГО'!G38</f>
        <v>2100000</v>
      </c>
      <c r="G444" s="285">
        <f t="shared" ref="G444" si="297">D444-E444</f>
        <v>0</v>
      </c>
      <c r="H444" s="289">
        <f t="shared" ref="H444:H446" si="298">IF(F444&gt;E444,1,0)</f>
        <v>0</v>
      </c>
      <c r="I444" s="289">
        <f t="shared" ref="I444:I446" si="299">IF(G444&lt;0,1,0)</f>
        <v>0</v>
      </c>
      <c r="J444" s="1310"/>
    </row>
    <row r="445" spans="1:10" s="801" customFormat="1" x14ac:dyDescent="0.2">
      <c r="A445" s="385"/>
      <c r="B445" s="386" t="s">
        <v>146</v>
      </c>
      <c r="C445" s="387"/>
      <c r="D445" s="389">
        <f>D444</f>
        <v>2100000</v>
      </c>
      <c r="E445" s="389">
        <f t="shared" ref="E445:G445" si="300">E444</f>
        <v>2100000</v>
      </c>
      <c r="F445" s="389">
        <f t="shared" si="300"/>
        <v>2100000</v>
      </c>
      <c r="G445" s="389">
        <f t="shared" si="300"/>
        <v>0</v>
      </c>
      <c r="H445" s="289">
        <f t="shared" si="298"/>
        <v>0</v>
      </c>
      <c r="I445" s="289">
        <f t="shared" si="299"/>
        <v>0</v>
      </c>
      <c r="J445" s="1310"/>
    </row>
    <row r="446" spans="1:10" s="801" customFormat="1" x14ac:dyDescent="0.2">
      <c r="A446" s="385"/>
      <c r="B446" s="386" t="s">
        <v>147</v>
      </c>
      <c r="C446" s="387"/>
      <c r="D446" s="389"/>
      <c r="E446" s="389"/>
      <c r="F446" s="389"/>
      <c r="G446" s="389"/>
      <c r="H446" s="289">
        <f t="shared" si="298"/>
        <v>0</v>
      </c>
      <c r="I446" s="289">
        <f t="shared" si="299"/>
        <v>0</v>
      </c>
      <c r="J446" s="1310"/>
    </row>
    <row r="447" spans="1:10" s="801" customFormat="1" x14ac:dyDescent="0.2">
      <c r="A447" s="249"/>
      <c r="B447" s="370"/>
      <c r="C447" s="269"/>
      <c r="D447" s="483"/>
      <c r="E447" s="483"/>
      <c r="F447" s="483"/>
      <c r="G447" s="483"/>
      <c r="H447" s="484"/>
      <c r="I447" s="484"/>
      <c r="J447" s="1526"/>
    </row>
    <row r="448" spans="1:10" ht="25.5" x14ac:dyDescent="0.2">
      <c r="A448" s="187">
        <v>1403</v>
      </c>
      <c r="B448" s="251" t="s">
        <v>65</v>
      </c>
      <c r="C448" s="193"/>
      <c r="D448" s="287">
        <f>D455+D452+D467+D470+D458+D461+D464+D473+D476</f>
        <v>734945897.32999992</v>
      </c>
      <c r="E448" s="287">
        <f t="shared" ref="E448:G448" si="301">E455+E452+E467+E470+E458+E461+E464+E473+E476</f>
        <v>734945897.32999992</v>
      </c>
      <c r="F448" s="287">
        <f t="shared" si="301"/>
        <v>223325842.38000003</v>
      </c>
      <c r="G448" s="287">
        <f t="shared" si="301"/>
        <v>0</v>
      </c>
      <c r="H448" s="289">
        <f t="shared" si="257"/>
        <v>0</v>
      </c>
      <c r="I448" s="289">
        <f t="shared" si="254"/>
        <v>0</v>
      </c>
    </row>
    <row r="449" spans="1:10" x14ac:dyDescent="0.2">
      <c r="A449" s="378"/>
      <c r="B449" s="379" t="s">
        <v>146</v>
      </c>
      <c r="C449" s="380"/>
      <c r="D449" s="505">
        <f>D456+D462+D465+D468+D471+D474+D477</f>
        <v>235178618.47</v>
      </c>
      <c r="E449" s="505">
        <f t="shared" ref="E449:G449" si="302">E456+E462+E465+E468+E471+E474+E477</f>
        <v>235178618.47</v>
      </c>
      <c r="F449" s="505">
        <f t="shared" si="302"/>
        <v>85894040.299999997</v>
      </c>
      <c r="G449" s="505">
        <f t="shared" si="302"/>
        <v>0</v>
      </c>
      <c r="H449" s="289">
        <f t="shared" si="257"/>
        <v>0</v>
      </c>
      <c r="I449" s="289">
        <f t="shared" si="254"/>
        <v>0</v>
      </c>
    </row>
    <row r="450" spans="1:10" x14ac:dyDescent="0.2">
      <c r="A450" s="378"/>
      <c r="B450" s="379" t="s">
        <v>147</v>
      </c>
      <c r="C450" s="380"/>
      <c r="D450" s="505">
        <f>D448-D449</f>
        <v>499767278.8599999</v>
      </c>
      <c r="E450" s="505">
        <f t="shared" ref="E450:G450" si="303">E448-E449</f>
        <v>499767278.8599999</v>
      </c>
      <c r="F450" s="505">
        <f t="shared" si="303"/>
        <v>137431802.08000004</v>
      </c>
      <c r="G450" s="505">
        <f t="shared" si="303"/>
        <v>0</v>
      </c>
      <c r="H450" s="289">
        <f t="shared" si="257"/>
        <v>0</v>
      </c>
      <c r="I450" s="289">
        <f t="shared" si="254"/>
        <v>0</v>
      </c>
    </row>
    <row r="451" spans="1:10" x14ac:dyDescent="0.2">
      <c r="A451" s="195"/>
      <c r="B451" s="476" t="s">
        <v>38</v>
      </c>
      <c r="C451" s="191"/>
      <c r="D451" s="286"/>
      <c r="E451" s="189"/>
      <c r="F451" s="189"/>
      <c r="G451" s="285"/>
      <c r="H451" s="289">
        <f t="shared" si="257"/>
        <v>0</v>
      </c>
      <c r="I451" s="289">
        <f t="shared" si="254"/>
        <v>0</v>
      </c>
    </row>
    <row r="452" spans="1:10" ht="165.75" hidden="1" x14ac:dyDescent="0.2">
      <c r="A452" s="1139"/>
      <c r="B452" s="477" t="s">
        <v>221</v>
      </c>
      <c r="C452" s="144" t="s">
        <v>199</v>
      </c>
      <c r="D452" s="284">
        <f>491442359.29-491442359.29</f>
        <v>0</v>
      </c>
      <c r="E452" s="270"/>
      <c r="F452" s="715"/>
      <c r="G452" s="285">
        <f t="shared" ref="G452:G457" si="304">D452-E452</f>
        <v>0</v>
      </c>
      <c r="H452" s="289">
        <f t="shared" si="257"/>
        <v>0</v>
      </c>
      <c r="I452" s="289">
        <f t="shared" si="254"/>
        <v>0</v>
      </c>
    </row>
    <row r="453" spans="1:10" hidden="1" x14ac:dyDescent="0.2">
      <c r="A453" s="385"/>
      <c r="B453" s="386" t="s">
        <v>146</v>
      </c>
      <c r="C453" s="387"/>
      <c r="D453" s="456">
        <f>D452-D454</f>
        <v>0</v>
      </c>
      <c r="E453" s="456">
        <f>E452-E454</f>
        <v>0</v>
      </c>
      <c r="F453" s="456">
        <f>F452-F454</f>
        <v>0</v>
      </c>
      <c r="G453" s="389">
        <f t="shared" si="304"/>
        <v>0</v>
      </c>
      <c r="H453" s="289">
        <f t="shared" si="257"/>
        <v>0</v>
      </c>
      <c r="I453" s="289">
        <f t="shared" si="254"/>
        <v>0</v>
      </c>
    </row>
    <row r="454" spans="1:10" hidden="1" x14ac:dyDescent="0.2">
      <c r="A454" s="385"/>
      <c r="B454" s="386" t="s">
        <v>147</v>
      </c>
      <c r="C454" s="387"/>
      <c r="D454" s="388"/>
      <c r="E454" s="388"/>
      <c r="F454" s="388"/>
      <c r="G454" s="389">
        <f t="shared" si="304"/>
        <v>0</v>
      </c>
      <c r="H454" s="289">
        <f t="shared" si="257"/>
        <v>0</v>
      </c>
      <c r="I454" s="289">
        <f t="shared" si="254"/>
        <v>0</v>
      </c>
    </row>
    <row r="455" spans="1:10" ht="114.75" x14ac:dyDescent="0.2">
      <c r="A455" s="195"/>
      <c r="B455" s="477" t="s">
        <v>225</v>
      </c>
      <c r="C455" s="144" t="s">
        <v>204</v>
      </c>
      <c r="D455" s="284">
        <f>185471000+49151322.64</f>
        <v>234622322.63999999</v>
      </c>
      <c r="E455" s="201">
        <f>'Прочая  субсидия_МР  и  ГО'!Z38</f>
        <v>234622322.63999999</v>
      </c>
      <c r="F455" s="201">
        <f>'Прочая  субсидия_МР  и  ГО'!AA38</f>
        <v>86870879.299999997</v>
      </c>
      <c r="G455" s="285">
        <f t="shared" si="304"/>
        <v>0</v>
      </c>
      <c r="H455" s="289">
        <f t="shared" si="257"/>
        <v>0</v>
      </c>
      <c r="I455" s="289">
        <f t="shared" si="254"/>
        <v>0</v>
      </c>
    </row>
    <row r="456" spans="1:10" x14ac:dyDescent="0.2">
      <c r="A456" s="385"/>
      <c r="B456" s="386" t="s">
        <v>146</v>
      </c>
      <c r="C456" s="387"/>
      <c r="D456" s="389">
        <f>D455-D457</f>
        <v>193157144.78999999</v>
      </c>
      <c r="E456" s="389">
        <f t="shared" ref="E456:F456" si="305">E455-E457</f>
        <v>193157144.78999999</v>
      </c>
      <c r="F456" s="389">
        <f t="shared" si="305"/>
        <v>85894040.299999997</v>
      </c>
      <c r="G456" s="389">
        <f t="shared" si="304"/>
        <v>0</v>
      </c>
      <c r="H456" s="289">
        <f t="shared" si="257"/>
        <v>0</v>
      </c>
      <c r="I456" s="289">
        <f t="shared" si="254"/>
        <v>0</v>
      </c>
    </row>
    <row r="457" spans="1:10" x14ac:dyDescent="0.2">
      <c r="A457" s="385"/>
      <c r="B457" s="386" t="s">
        <v>147</v>
      </c>
      <c r="C457" s="387"/>
      <c r="D457" s="388">
        <v>41465177.850000001</v>
      </c>
      <c r="E457" s="389">
        <f>D457</f>
        <v>41465177.850000001</v>
      </c>
      <c r="F457" s="1431">
        <v>976839</v>
      </c>
      <c r="G457" s="389">
        <f t="shared" si="304"/>
        <v>0</v>
      </c>
      <c r="H457" s="289">
        <f t="shared" si="257"/>
        <v>0</v>
      </c>
      <c r="I457" s="289">
        <f t="shared" si="254"/>
        <v>0</v>
      </c>
      <c r="J457" s="1310" t="s">
        <v>793</v>
      </c>
    </row>
    <row r="458" spans="1:10" ht="117" hidden="1" customHeight="1" x14ac:dyDescent="0.2">
      <c r="A458" s="1139"/>
      <c r="B458" s="477" t="s">
        <v>813</v>
      </c>
      <c r="C458" s="250" t="s">
        <v>807</v>
      </c>
      <c r="D458" s="284">
        <f>11666666.9-11666666.9</f>
        <v>0</v>
      </c>
      <c r="E458" s="201">
        <f>'Проверочная  таблица'!AP38</f>
        <v>0</v>
      </c>
      <c r="F458" s="201">
        <f>'Проверочная  таблица'!AV38</f>
        <v>0</v>
      </c>
      <c r="G458" s="285">
        <f t="shared" ref="G458:G460" si="306">D458-E458</f>
        <v>0</v>
      </c>
      <c r="H458" s="289">
        <f t="shared" ref="H458:H460" si="307">IF(F458&gt;E458,1,0)</f>
        <v>0</v>
      </c>
      <c r="I458" s="289">
        <f t="shared" ref="I458:I460" si="308">IF(G458&lt;0,1,0)</f>
        <v>0</v>
      </c>
      <c r="J458" s="803"/>
    </row>
    <row r="459" spans="1:10" hidden="1" x14ac:dyDescent="0.2">
      <c r="A459" s="385"/>
      <c r="B459" s="386" t="s">
        <v>146</v>
      </c>
      <c r="C459" s="387"/>
      <c r="D459" s="389"/>
      <c r="E459" s="389"/>
      <c r="F459" s="389"/>
      <c r="G459" s="389">
        <f t="shared" si="306"/>
        <v>0</v>
      </c>
      <c r="H459" s="289">
        <f t="shared" si="307"/>
        <v>0</v>
      </c>
      <c r="I459" s="289">
        <f t="shared" si="308"/>
        <v>0</v>
      </c>
      <c r="J459" s="803"/>
    </row>
    <row r="460" spans="1:10" hidden="1" x14ac:dyDescent="0.2">
      <c r="A460" s="385"/>
      <c r="B460" s="386" t="s">
        <v>147</v>
      </c>
      <c r="C460" s="387"/>
      <c r="D460" s="389">
        <f>D458</f>
        <v>0</v>
      </c>
      <c r="E460" s="389">
        <f t="shared" ref="E460:F460" si="309">E458</f>
        <v>0</v>
      </c>
      <c r="F460" s="389">
        <f t="shared" si="309"/>
        <v>0</v>
      </c>
      <c r="G460" s="389">
        <f t="shared" si="306"/>
        <v>0</v>
      </c>
      <c r="H460" s="289">
        <f t="shared" si="307"/>
        <v>0</v>
      </c>
      <c r="I460" s="289">
        <f t="shared" si="308"/>
        <v>0</v>
      </c>
    </row>
    <row r="461" spans="1:10" ht="102" x14ac:dyDescent="0.2">
      <c r="A461" s="249"/>
      <c r="B461" s="477" t="s">
        <v>848</v>
      </c>
      <c r="C461" s="250" t="s">
        <v>810</v>
      </c>
      <c r="D461" s="284">
        <v>15073131.57</v>
      </c>
      <c r="E461" s="201">
        <f>'Проверочная  таблица'!NT38</f>
        <v>15073131.57</v>
      </c>
      <c r="F461" s="201">
        <f>'Проверочная  таблица'!OA38</f>
        <v>1341800.2400000002</v>
      </c>
      <c r="G461" s="285">
        <f t="shared" ref="G461:G465" si="310">D461-E461</f>
        <v>0</v>
      </c>
      <c r="H461" s="289">
        <f t="shared" ref="H461:H466" si="311">IF(F461&gt;E461,1,0)</f>
        <v>0</v>
      </c>
      <c r="I461" s="289">
        <f t="shared" ref="I461:I466" si="312">IF(G461&lt;0,1,0)</f>
        <v>0</v>
      </c>
      <c r="J461" s="1527">
        <f>D461+D464</f>
        <v>301462631.56999999</v>
      </c>
    </row>
    <row r="462" spans="1:10" x14ac:dyDescent="0.2">
      <c r="A462" s="385"/>
      <c r="B462" s="386" t="s">
        <v>146</v>
      </c>
      <c r="C462" s="387"/>
      <c r="D462" s="388"/>
      <c r="E462" s="388"/>
      <c r="F462" s="388"/>
      <c r="G462" s="389">
        <f t="shared" si="310"/>
        <v>0</v>
      </c>
      <c r="H462" s="289">
        <f t="shared" si="311"/>
        <v>0</v>
      </c>
      <c r="I462" s="289">
        <f t="shared" si="312"/>
        <v>0</v>
      </c>
    </row>
    <row r="463" spans="1:10" x14ac:dyDescent="0.2">
      <c r="A463" s="385"/>
      <c r="B463" s="386" t="s">
        <v>147</v>
      </c>
      <c r="C463" s="387"/>
      <c r="D463" s="389">
        <f>D461-D462</f>
        <v>15073131.57</v>
      </c>
      <c r="E463" s="389">
        <f>E461-E462</f>
        <v>15073131.57</v>
      </c>
      <c r="F463" s="389">
        <f>F461-F462</f>
        <v>1341800.2400000002</v>
      </c>
      <c r="G463" s="389">
        <f t="shared" si="310"/>
        <v>0</v>
      </c>
      <c r="H463" s="289">
        <f t="shared" si="311"/>
        <v>0</v>
      </c>
      <c r="I463" s="289">
        <f t="shared" si="312"/>
        <v>0</v>
      </c>
      <c r="J463" s="1310">
        <f>D463+D466-'субсидия  ВР 522'!C20</f>
        <v>0</v>
      </c>
    </row>
    <row r="464" spans="1:10" s="801" customFormat="1" x14ac:dyDescent="0.2">
      <c r="A464" s="692"/>
      <c r="B464" s="693" t="s">
        <v>58</v>
      </c>
      <c r="C464" s="681" t="s">
        <v>810</v>
      </c>
      <c r="D464" s="694">
        <v>286389500</v>
      </c>
      <c r="E464" s="691">
        <f>'Проверочная  таблица'!NU38</f>
        <v>286389500</v>
      </c>
      <c r="F464" s="691">
        <f>'Проверочная  таблица'!OB38</f>
        <v>25494204.719999999</v>
      </c>
      <c r="G464" s="695">
        <f t="shared" si="310"/>
        <v>0</v>
      </c>
      <c r="H464" s="289">
        <f t="shared" si="311"/>
        <v>0</v>
      </c>
      <c r="I464" s="289">
        <f t="shared" si="312"/>
        <v>0</v>
      </c>
      <c r="J464" s="1310"/>
    </row>
    <row r="465" spans="1:10" x14ac:dyDescent="0.2">
      <c r="A465" s="692"/>
      <c r="B465" s="696" t="s">
        <v>146</v>
      </c>
      <c r="C465" s="697"/>
      <c r="D465" s="695"/>
      <c r="E465" s="695"/>
      <c r="F465" s="695"/>
      <c r="G465" s="695">
        <f t="shared" si="310"/>
        <v>0</v>
      </c>
      <c r="H465" s="289">
        <f t="shared" si="311"/>
        <v>0</v>
      </c>
      <c r="I465" s="289">
        <f t="shared" si="312"/>
        <v>0</v>
      </c>
      <c r="J465" s="803"/>
    </row>
    <row r="466" spans="1:10" x14ac:dyDescent="0.2">
      <c r="A466" s="692"/>
      <c r="B466" s="696" t="s">
        <v>147</v>
      </c>
      <c r="C466" s="697"/>
      <c r="D466" s="695">
        <f>D464-D465</f>
        <v>286389500</v>
      </c>
      <c r="E466" s="695">
        <f t="shared" ref="E466:G466" si="313">E464-E465</f>
        <v>286389500</v>
      </c>
      <c r="F466" s="695">
        <f t="shared" si="313"/>
        <v>25494204.719999999</v>
      </c>
      <c r="G466" s="695">
        <f t="shared" si="313"/>
        <v>0</v>
      </c>
      <c r="H466" s="289">
        <f t="shared" si="311"/>
        <v>0</v>
      </c>
      <c r="I466" s="289">
        <f t="shared" si="312"/>
        <v>0</v>
      </c>
    </row>
    <row r="467" spans="1:10" ht="127.5" x14ac:dyDescent="0.2">
      <c r="A467" s="249"/>
      <c r="B467" s="477" t="s">
        <v>584</v>
      </c>
      <c r="C467" s="250" t="s">
        <v>583</v>
      </c>
      <c r="D467" s="203">
        <f>26661600+2441451.44</f>
        <v>29103051.440000001</v>
      </c>
      <c r="E467" s="201">
        <f>'Проверочная  таблица'!NV38</f>
        <v>29103051.440000001</v>
      </c>
      <c r="F467" s="201">
        <f>'Проверочная  таблица'!OC38</f>
        <v>26742025.890000001</v>
      </c>
      <c r="G467" s="285">
        <f t="shared" ref="G467:G471" si="314">D467-E467</f>
        <v>0</v>
      </c>
      <c r="H467" s="289">
        <f t="shared" ref="H467:H472" si="315">IF(F467&gt;E467,1,0)</f>
        <v>0</v>
      </c>
      <c r="I467" s="289">
        <f t="shared" ref="I467:I472" si="316">IF(G467&lt;0,1,0)</f>
        <v>0</v>
      </c>
      <c r="J467" s="1523">
        <f>D467+D470</f>
        <v>156839469.44</v>
      </c>
    </row>
    <row r="468" spans="1:10" x14ac:dyDescent="0.2">
      <c r="A468" s="385"/>
      <c r="B468" s="386" t="s">
        <v>146</v>
      </c>
      <c r="C468" s="387"/>
      <c r="D468" s="388"/>
      <c r="E468" s="388"/>
      <c r="F468" s="388"/>
      <c r="G468" s="389">
        <f t="shared" si="314"/>
        <v>0</v>
      </c>
      <c r="H468" s="289">
        <f t="shared" si="315"/>
        <v>0</v>
      </c>
      <c r="I468" s="289">
        <f t="shared" si="316"/>
        <v>0</v>
      </c>
    </row>
    <row r="469" spans="1:10" x14ac:dyDescent="0.2">
      <c r="A469" s="385"/>
      <c r="B469" s="386" t="s">
        <v>147</v>
      </c>
      <c r="C469" s="387"/>
      <c r="D469" s="389">
        <f>D467-D468</f>
        <v>29103051.440000001</v>
      </c>
      <c r="E469" s="389">
        <f>E467-E468</f>
        <v>29103051.440000001</v>
      </c>
      <c r="F469" s="389">
        <f>F467-F468</f>
        <v>26742025.890000001</v>
      </c>
      <c r="G469" s="389">
        <f t="shared" si="314"/>
        <v>0</v>
      </c>
      <c r="H469" s="289">
        <f t="shared" si="315"/>
        <v>0</v>
      </c>
      <c r="I469" s="289">
        <f t="shared" si="316"/>
        <v>0</v>
      </c>
      <c r="J469" s="1310">
        <f>D469+D472-'субсидия  ВР 522'!C19</f>
        <v>0</v>
      </c>
    </row>
    <row r="470" spans="1:10" x14ac:dyDescent="0.2">
      <c r="A470" s="692"/>
      <c r="B470" s="693" t="s">
        <v>58</v>
      </c>
      <c r="C470" s="711" t="s">
        <v>583</v>
      </c>
      <c r="D470" s="694">
        <f>121458400+6278018</f>
        <v>127736418</v>
      </c>
      <c r="E470" s="691">
        <f>'Проверочная  таблица'!NW38</f>
        <v>127736418</v>
      </c>
      <c r="F470" s="691">
        <f>'Проверочная  таблица'!OD38</f>
        <v>82876932.230000004</v>
      </c>
      <c r="G470" s="695">
        <f t="shared" si="314"/>
        <v>0</v>
      </c>
      <c r="H470" s="289">
        <f t="shared" si="315"/>
        <v>0</v>
      </c>
      <c r="I470" s="289">
        <f t="shared" si="316"/>
        <v>0</v>
      </c>
    </row>
    <row r="471" spans="1:10" x14ac:dyDescent="0.2">
      <c r="A471" s="692"/>
      <c r="B471" s="696" t="s">
        <v>146</v>
      </c>
      <c r="C471" s="697"/>
      <c r="D471" s="698"/>
      <c r="E471" s="698"/>
      <c r="F471" s="698"/>
      <c r="G471" s="695">
        <f t="shared" si="314"/>
        <v>0</v>
      </c>
      <c r="H471" s="289">
        <f t="shared" si="315"/>
        <v>0</v>
      </c>
      <c r="I471" s="289">
        <f t="shared" si="316"/>
        <v>0</v>
      </c>
    </row>
    <row r="472" spans="1:10" x14ac:dyDescent="0.2">
      <c r="A472" s="692"/>
      <c r="B472" s="696" t="s">
        <v>147</v>
      </c>
      <c r="C472" s="697"/>
      <c r="D472" s="695">
        <f>D470</f>
        <v>127736418</v>
      </c>
      <c r="E472" s="695">
        <f t="shared" ref="E472:G472" si="317">E470</f>
        <v>127736418</v>
      </c>
      <c r="F472" s="695">
        <f t="shared" si="317"/>
        <v>82876932.230000004</v>
      </c>
      <c r="G472" s="695">
        <f t="shared" si="317"/>
        <v>0</v>
      </c>
      <c r="H472" s="289">
        <f t="shared" si="315"/>
        <v>0</v>
      </c>
      <c r="I472" s="289">
        <f t="shared" si="316"/>
        <v>0</v>
      </c>
      <c r="J472" s="1523"/>
    </row>
    <row r="473" spans="1:10" ht="153" x14ac:dyDescent="0.2">
      <c r="A473" s="249"/>
      <c r="B473" s="477" t="s">
        <v>851</v>
      </c>
      <c r="C473" s="250" t="s">
        <v>850</v>
      </c>
      <c r="D473" s="203">
        <v>2101073.6800000002</v>
      </c>
      <c r="E473" s="201">
        <f>'Проверочная  таблица'!PV38</f>
        <v>2101073.6800000002</v>
      </c>
      <c r="F473" s="201">
        <f>'Проверочная  таблица'!PY38</f>
        <v>0</v>
      </c>
      <c r="G473" s="285">
        <f t="shared" ref="G473:G476" si="318">D473-E473</f>
        <v>0</v>
      </c>
      <c r="H473" s="289">
        <f t="shared" ref="H473:H478" si="319">IF(F473&gt;E473,1,0)</f>
        <v>0</v>
      </c>
      <c r="I473" s="289">
        <f t="shared" ref="I473:I478" si="320">IF(G473&lt;0,1,0)</f>
        <v>0</v>
      </c>
      <c r="J473" s="1523">
        <f>D473+D476</f>
        <v>42021473.68</v>
      </c>
    </row>
    <row r="474" spans="1:10" x14ac:dyDescent="0.2">
      <c r="A474" s="385"/>
      <c r="B474" s="386" t="s">
        <v>146</v>
      </c>
      <c r="C474" s="387"/>
      <c r="D474" s="456">
        <f>D473</f>
        <v>2101073.6800000002</v>
      </c>
      <c r="E474" s="456">
        <f t="shared" ref="E474:F474" si="321">E473</f>
        <v>2101073.6800000002</v>
      </c>
      <c r="F474" s="456">
        <f t="shared" si="321"/>
        <v>0</v>
      </c>
      <c r="G474" s="389">
        <f t="shared" si="318"/>
        <v>0</v>
      </c>
      <c r="H474" s="289">
        <f t="shared" si="319"/>
        <v>0</v>
      </c>
      <c r="I474" s="289">
        <f t="shared" si="320"/>
        <v>0</v>
      </c>
    </row>
    <row r="475" spans="1:10" x14ac:dyDescent="0.2">
      <c r="A475" s="385"/>
      <c r="B475" s="386" t="s">
        <v>147</v>
      </c>
      <c r="C475" s="387"/>
      <c r="D475" s="389"/>
      <c r="E475" s="389"/>
      <c r="F475" s="389"/>
      <c r="G475" s="389">
        <f t="shared" si="318"/>
        <v>0</v>
      </c>
      <c r="H475" s="289">
        <f t="shared" si="319"/>
        <v>0</v>
      </c>
      <c r="I475" s="289">
        <f t="shared" si="320"/>
        <v>0</v>
      </c>
    </row>
    <row r="476" spans="1:10" x14ac:dyDescent="0.2">
      <c r="A476" s="692"/>
      <c r="B476" s="693" t="s">
        <v>58</v>
      </c>
      <c r="C476" s="711" t="s">
        <v>850</v>
      </c>
      <c r="D476" s="694">
        <v>39920400</v>
      </c>
      <c r="E476" s="691">
        <f>'Проверочная  таблица'!PW38</f>
        <v>39920400</v>
      </c>
      <c r="F476" s="691">
        <f>'Проверочная  таблица'!PZ38</f>
        <v>0</v>
      </c>
      <c r="G476" s="695">
        <f t="shared" si="318"/>
        <v>0</v>
      </c>
      <c r="H476" s="289">
        <f t="shared" si="319"/>
        <v>0</v>
      </c>
      <c r="I476" s="289">
        <f t="shared" si="320"/>
        <v>0</v>
      </c>
    </row>
    <row r="477" spans="1:10" x14ac:dyDescent="0.2">
      <c r="A477" s="692"/>
      <c r="B477" s="696" t="s">
        <v>146</v>
      </c>
      <c r="C477" s="697"/>
      <c r="D477" s="691">
        <f>D476</f>
        <v>39920400</v>
      </c>
      <c r="E477" s="691">
        <f t="shared" ref="E477:G477" si="322">E476</f>
        <v>39920400</v>
      </c>
      <c r="F477" s="691">
        <f t="shared" si="322"/>
        <v>0</v>
      </c>
      <c r="G477" s="691">
        <f t="shared" si="322"/>
        <v>0</v>
      </c>
      <c r="H477" s="289">
        <f t="shared" si="319"/>
        <v>0</v>
      </c>
      <c r="I477" s="289">
        <f t="shared" si="320"/>
        <v>0</v>
      </c>
    </row>
    <row r="478" spans="1:10" x14ac:dyDescent="0.2">
      <c r="A478" s="692"/>
      <c r="B478" s="696" t="s">
        <v>147</v>
      </c>
      <c r="C478" s="697"/>
      <c r="D478" s="695"/>
      <c r="E478" s="695"/>
      <c r="F478" s="695"/>
      <c r="G478" s="695"/>
      <c r="H478" s="289">
        <f t="shared" si="319"/>
        <v>0</v>
      </c>
      <c r="I478" s="289">
        <f t="shared" si="320"/>
        <v>0</v>
      </c>
      <c r="J478" s="1523"/>
    </row>
    <row r="479" spans="1:10" x14ac:dyDescent="0.2">
      <c r="A479" s="194"/>
      <c r="B479" s="194"/>
      <c r="C479" s="198"/>
      <c r="D479" s="286"/>
      <c r="E479" s="286"/>
      <c r="F479" s="286"/>
      <c r="G479" s="286"/>
      <c r="H479" s="289">
        <f t="shared" si="257"/>
        <v>0</v>
      </c>
      <c r="I479" s="289">
        <f t="shared" si="254"/>
        <v>0</v>
      </c>
    </row>
    <row r="480" spans="1:10" s="803" customFormat="1" x14ac:dyDescent="0.2">
      <c r="A480" s="381"/>
      <c r="B480" s="382" t="s">
        <v>136</v>
      </c>
      <c r="C480" s="382"/>
      <c r="D480" s="383">
        <f>D448+D440+D393+D385+D335+D321+D301+D248+D222+D204+D160+D135+D114+D76+D47+D34+D8+D194</f>
        <v>6203105540.8330002</v>
      </c>
      <c r="E480" s="383">
        <f>E448+E440+E393+E385+E335+E321+E301+E248+E222+E204+E160+E135+E114+E76+E47+E34+E8+E194</f>
        <v>6034501956.2299995</v>
      </c>
      <c r="F480" s="383">
        <f>F448+F440+F393+F385+F335+F321+F301+F248+F222+F204+F160+F135+F114+F76+F47+F34+F8+F194</f>
        <v>3389548986.27</v>
      </c>
      <c r="G480" s="383">
        <f>G448+G440+G393+G385+G335+G321+G301+G248+G222+G204+G160+G135+G114+G76+G47+G34+G8+G194</f>
        <v>168603584.60300004</v>
      </c>
      <c r="H480" s="289">
        <f t="shared" si="257"/>
        <v>0</v>
      </c>
      <c r="I480" s="289">
        <f t="shared" si="254"/>
        <v>0</v>
      </c>
      <c r="J480" s="1310"/>
    </row>
    <row r="481" spans="1:12" s="803" customFormat="1" x14ac:dyDescent="0.2">
      <c r="A481" s="378"/>
      <c r="B481" s="384" t="s">
        <v>146</v>
      </c>
      <c r="C481" s="380"/>
      <c r="D481" s="454">
        <f>D9+D48+D77+D115+D136+D161+D195+D205+D223+D249+D302+D322+D336+D394+D441+D449</f>
        <v>2054187505.773</v>
      </c>
      <c r="E481" s="454">
        <f t="shared" ref="E481:G481" si="323">E9+E48+E77+E115+E136+E161+E195+E205+E223+E249+E302+E322+E336+E394+E441+E449</f>
        <v>2033039997.9100001</v>
      </c>
      <c r="F481" s="454">
        <f t="shared" si="323"/>
        <v>1116307615.3700001</v>
      </c>
      <c r="G481" s="454">
        <f t="shared" si="323"/>
        <v>21147507.863000013</v>
      </c>
      <c r="H481" s="289">
        <f>IF(F481&gt;E481,1,0)</f>
        <v>0</v>
      </c>
      <c r="I481" s="289">
        <f>IF(G481&lt;0,1,0)</f>
        <v>0</v>
      </c>
      <c r="J481" s="1310"/>
    </row>
    <row r="482" spans="1:12" s="803" customFormat="1" x14ac:dyDescent="0.2">
      <c r="A482" s="378"/>
      <c r="B482" s="384" t="s">
        <v>147</v>
      </c>
      <c r="C482" s="380"/>
      <c r="D482" s="454">
        <f>D10+D49+D78+D116+D137+D162+D196+D206+D224+D250+D303+D323+D337+D395+D442+D450</f>
        <v>2892820436.1099997</v>
      </c>
      <c r="E482" s="454">
        <f t="shared" ref="E482:G482" si="324">E10+E49+E78+E116+E137+E162+E196+E206+E224+E250+E303+E323+E337+E395+E442+E450</f>
        <v>2774510167.6099997</v>
      </c>
      <c r="F482" s="454">
        <f t="shared" si="324"/>
        <v>1527421379.54</v>
      </c>
      <c r="G482" s="454">
        <f t="shared" si="324"/>
        <v>118310268.5</v>
      </c>
      <c r="H482" s="289">
        <f>IF(F482&gt;E482,1,0)</f>
        <v>0</v>
      </c>
      <c r="I482" s="289">
        <f>IF(G482&lt;0,1,0)</f>
        <v>0</v>
      </c>
      <c r="J482" s="1310"/>
    </row>
    <row r="483" spans="1:12" s="803" customFormat="1" x14ac:dyDescent="0.2">
      <c r="A483" s="378"/>
      <c r="B483" s="384" t="s">
        <v>313</v>
      </c>
      <c r="C483" s="380"/>
      <c r="D483" s="454">
        <f>D251+D225+D207+D163+D138+D37+D197</f>
        <v>1256097598.95</v>
      </c>
      <c r="E483" s="454">
        <f>E251+E225+E207+E163+E138+E37+E197</f>
        <v>1226951790.71</v>
      </c>
      <c r="F483" s="454">
        <f>F251+F225+F207+F163+F138+F37+F197</f>
        <v>745819991.36000001</v>
      </c>
      <c r="G483" s="454">
        <f>G251+G225+G207+G163+G138+G37+G197</f>
        <v>29145808.240000024</v>
      </c>
      <c r="H483" s="289">
        <f>IF(F483&gt;E483,1,0)</f>
        <v>0</v>
      </c>
      <c r="I483" s="289">
        <f>IF(G483&lt;0,1,0)</f>
        <v>0</v>
      </c>
      <c r="J483" s="1310"/>
    </row>
    <row r="484" spans="1:12" s="803" customFormat="1" x14ac:dyDescent="0.2">
      <c r="A484" s="375"/>
      <c r="B484" s="376"/>
      <c r="C484" s="377"/>
      <c r="D484" s="374">
        <f>D480-D481-D482-D483</f>
        <v>0</v>
      </c>
      <c r="E484" s="374">
        <f t="shared" ref="E484:G484" si="325">E480-E481-E482-E483</f>
        <v>0</v>
      </c>
      <c r="F484" s="374">
        <f t="shared" si="325"/>
        <v>0</v>
      </c>
      <c r="G484" s="374">
        <f t="shared" si="325"/>
        <v>0</v>
      </c>
      <c r="H484" s="804">
        <f>SUM(H8:H482)</f>
        <v>0</v>
      </c>
      <c r="I484" s="804">
        <f>SUM(I8:I482)</f>
        <v>0</v>
      </c>
      <c r="J484" s="1310"/>
    </row>
    <row r="485" spans="1:12" s="803" customFormat="1" x14ac:dyDescent="0.2">
      <c r="A485" s="375"/>
      <c r="B485" s="376"/>
      <c r="C485" s="377"/>
      <c r="D485" s="439" t="s">
        <v>273</v>
      </c>
      <c r="E485" s="805">
        <f>E480-'Проверочная  таблица'!AI37</f>
        <v>0</v>
      </c>
      <c r="F485" s="805">
        <f>F480-'Проверочная  таблица'!AJ37</f>
        <v>0</v>
      </c>
      <c r="G485" s="374"/>
      <c r="H485" s="289"/>
      <c r="I485" s="289"/>
      <c r="J485" s="1310"/>
    </row>
    <row r="486" spans="1:12" s="803" customFormat="1" x14ac:dyDescent="0.2">
      <c r="A486" s="375"/>
      <c r="B486" s="376"/>
      <c r="C486" s="441" t="s">
        <v>148</v>
      </c>
      <c r="D486" s="822">
        <v>2054187505.77</v>
      </c>
      <c r="E486" s="822">
        <f>1716245779.25+15000000</f>
        <v>1731245779.25</v>
      </c>
      <c r="F486" s="822">
        <v>963115180</v>
      </c>
      <c r="G486" s="1549">
        <f>G480-[1]Субсидия_факт!$K$40</f>
        <v>3.0000507831573486E-3</v>
      </c>
      <c r="H486" s="289"/>
      <c r="I486" s="799" t="s">
        <v>228</v>
      </c>
      <c r="J486" s="1310"/>
    </row>
    <row r="487" spans="1:12" s="803" customFormat="1" x14ac:dyDescent="0.2">
      <c r="A487" s="375"/>
      <c r="B487" s="376"/>
      <c r="C487" s="441" t="s">
        <v>45</v>
      </c>
      <c r="D487" s="440">
        <f>D486-D481</f>
        <v>-3.0000209808349609E-3</v>
      </c>
      <c r="E487" s="440">
        <f>E486-E481+E495+E502</f>
        <v>0</v>
      </c>
      <c r="F487" s="440">
        <f>F486-F481+F495+F502</f>
        <v>-1.3411045074462891E-7</v>
      </c>
      <c r="G487" s="1927" t="s">
        <v>822</v>
      </c>
      <c r="H487" s="289"/>
      <c r="I487" s="1917" t="s">
        <v>272</v>
      </c>
      <c r="J487" s="1917"/>
      <c r="K487" s="1917"/>
      <c r="L487" s="1917"/>
    </row>
    <row r="488" spans="1:12" s="803" customFormat="1" x14ac:dyDescent="0.2">
      <c r="A488" s="375"/>
      <c r="B488" s="376"/>
      <c r="C488" s="441" t="s">
        <v>42</v>
      </c>
      <c r="D488" s="1645">
        <v>2892820436.1100001</v>
      </c>
      <c r="E488" s="822">
        <f>1772120884.03-798190144.95</f>
        <v>973930739.07999992</v>
      </c>
      <c r="F488" s="822">
        <f>1146754480.19-640445015.58</f>
        <v>506309464.61000001</v>
      </c>
      <c r="G488" s="1927"/>
      <c r="H488" s="289"/>
      <c r="I488" s="799" t="s">
        <v>228</v>
      </c>
      <c r="J488" s="1310"/>
    </row>
    <row r="489" spans="1:12" s="803" customFormat="1" x14ac:dyDescent="0.2">
      <c r="A489" s="375"/>
      <c r="B489" s="376"/>
      <c r="C489" s="441" t="s">
        <v>45</v>
      </c>
      <c r="D489" s="440">
        <f>D488-D482</f>
        <v>0</v>
      </c>
      <c r="E489" s="714">
        <f>E488-E482+E503+E496</f>
        <v>1.7881393432617188E-7</v>
      </c>
      <c r="F489" s="714">
        <f>F488-F482+F503+F496</f>
        <v>0</v>
      </c>
      <c r="G489" s="374">
        <f>G480-'[1]Нераспределенная  субсидия'!$C$32*1000</f>
        <v>-110126706.45700008</v>
      </c>
      <c r="H489" s="289"/>
      <c r="I489" s="289"/>
      <c r="J489" s="1310"/>
    </row>
    <row r="490" spans="1:12" s="803" customFormat="1" x14ac:dyDescent="0.2">
      <c r="A490" s="375"/>
      <c r="B490" s="376"/>
      <c r="C490" s="441" t="s">
        <v>315</v>
      </c>
      <c r="D490" s="1472">
        <f>D483</f>
        <v>1256097598.95</v>
      </c>
      <c r="E490" s="1472">
        <f t="shared" ref="E490:F490" si="326">E483</f>
        <v>1226951790.71</v>
      </c>
      <c r="F490" s="1472">
        <f t="shared" si="326"/>
        <v>745819991.36000001</v>
      </c>
      <c r="G490" s="374"/>
      <c r="H490" s="289"/>
      <c r="I490" s="289"/>
      <c r="J490" s="1310"/>
    </row>
    <row r="491" spans="1:12" s="803" customFormat="1" x14ac:dyDescent="0.2">
      <c r="A491" s="375"/>
      <c r="B491" s="376"/>
      <c r="C491" s="441" t="s">
        <v>45</v>
      </c>
      <c r="D491" s="989">
        <f>D490-D483</f>
        <v>0</v>
      </c>
      <c r="E491" s="989">
        <f t="shared" ref="E491:F491" si="327">E490-E483</f>
        <v>0</v>
      </c>
      <c r="F491" s="989">
        <f t="shared" si="327"/>
        <v>0</v>
      </c>
      <c r="G491" s="374"/>
      <c r="H491" s="289"/>
      <c r="I491" s="289"/>
      <c r="J491" s="1310"/>
    </row>
    <row r="492" spans="1:12" s="803" customFormat="1" x14ac:dyDescent="0.2">
      <c r="A492" s="375"/>
      <c r="B492" s="376"/>
      <c r="C492" s="377"/>
      <c r="D492" s="374"/>
      <c r="E492" s="1922" t="s">
        <v>167</v>
      </c>
      <c r="F492" s="1923"/>
      <c r="G492" s="374"/>
      <c r="H492" s="289"/>
      <c r="I492" s="289"/>
      <c r="J492" s="1310"/>
    </row>
    <row r="493" spans="1:12" s="803" customFormat="1" x14ac:dyDescent="0.2">
      <c r="A493" s="375"/>
      <c r="B493" s="806"/>
      <c r="C493" s="377"/>
      <c r="D493" s="374"/>
      <c r="E493" s="1926" t="s">
        <v>274</v>
      </c>
      <c r="F493" s="1926"/>
      <c r="G493" s="374"/>
      <c r="H493" s="289"/>
      <c r="I493" s="289"/>
      <c r="J493" s="1310"/>
    </row>
    <row r="494" spans="1:12" s="803" customFormat="1" x14ac:dyDescent="0.2">
      <c r="A494" s="375"/>
      <c r="B494" s="376"/>
      <c r="C494" s="377"/>
      <c r="D494" s="374"/>
      <c r="E494" s="439"/>
      <c r="F494" s="439"/>
      <c r="G494" s="374"/>
      <c r="H494" s="289"/>
      <c r="I494" s="289"/>
      <c r="J494" s="1310"/>
    </row>
    <row r="495" spans="1:12" s="803" customFormat="1" x14ac:dyDescent="0.2">
      <c r="A495" s="375"/>
      <c r="B495" s="376"/>
      <c r="D495" s="441" t="s">
        <v>148</v>
      </c>
      <c r="E495" s="1024">
        <f>E102+E93+E154+E170+E231+E272+E286+E352+E358+E413+E364+E257+E237+E370+E407+E431+E401+E278+E214+E425+E22+E52+E129+E182+E468+E266+E306+E312+E419+E188+E474+E346</f>
        <v>47151218.759999998</v>
      </c>
      <c r="F495" s="1024">
        <f>F102+F93+F154+F170+F231+F272+F286+F352+F358+F413+F364+F257+F237+F370+F407+F431+F401+F278+F214+F425+F22+F52+F129+F182+F468+F266+F306+F312+F419+F188+F474+F346</f>
        <v>25120983.640000001</v>
      </c>
      <c r="G495" s="374"/>
      <c r="H495" s="289"/>
      <c r="I495" s="289"/>
      <c r="J495" s="1310"/>
    </row>
    <row r="496" spans="1:12" s="803" customFormat="1" x14ac:dyDescent="0.2">
      <c r="A496" s="375"/>
      <c r="B496" s="376"/>
      <c r="D496" s="441" t="s">
        <v>42</v>
      </c>
      <c r="E496" s="1024">
        <f>E103+E94+E155+E171+E232+E273+E287+E353+E359+E414+E365+E258+E238+E371+E408+E432+E402+E279+E215+E426+E23+E53+E130+E183+E469+E267+E307+E313+E420+E189+E475+E347</f>
        <v>103583886.94999999</v>
      </c>
      <c r="F496" s="1024">
        <f>F103+F94+F155+F171+F232+F273+F287+F353+F359+F414+F365+F258+F238+F371+F408+F432+F402+F279+F215+F426+F23+F53+F130+F183+F469+F267+F307+F313+F420+F189+F475+F347</f>
        <v>61998507.399999999</v>
      </c>
      <c r="G496" s="374"/>
      <c r="H496" s="289"/>
      <c r="I496" s="289"/>
      <c r="J496" s="1310"/>
    </row>
    <row r="497" spans="1:10" s="803" customFormat="1" x14ac:dyDescent="0.2">
      <c r="A497" s="375"/>
      <c r="B497" s="376"/>
      <c r="D497" s="441" t="s">
        <v>315</v>
      </c>
      <c r="E497" s="807">
        <f>E288+E280+E216+E172</f>
        <v>109799971.70999998</v>
      </c>
      <c r="F497" s="807">
        <f>F288+F280+F216+F172</f>
        <v>86944827.850000024</v>
      </c>
      <c r="G497" s="374"/>
      <c r="H497" s="289"/>
      <c r="I497" s="289"/>
      <c r="J497" s="1310"/>
    </row>
    <row r="498" spans="1:10" s="803" customFormat="1" ht="29.45" customHeight="1" x14ac:dyDescent="0.2">
      <c r="A498" s="375"/>
      <c r="B498" s="376"/>
      <c r="C498" s="255"/>
      <c r="D498" s="808"/>
      <c r="E498" s="1924" t="s">
        <v>427</v>
      </c>
      <c r="F498" s="1925"/>
      <c r="G498" s="374"/>
      <c r="H498" s="289"/>
      <c r="I498" s="289"/>
      <c r="J498" s="1310"/>
    </row>
    <row r="499" spans="1:10" s="803" customFormat="1" x14ac:dyDescent="0.2">
      <c r="A499" s="375"/>
      <c r="B499" s="376"/>
      <c r="C499" s="377"/>
      <c r="D499" s="374"/>
      <c r="E499" s="374"/>
      <c r="F499" s="374"/>
      <c r="G499" s="374"/>
      <c r="H499" s="289"/>
      <c r="I499" s="289"/>
      <c r="J499" s="1310"/>
    </row>
    <row r="500" spans="1:10" s="803" customFormat="1" x14ac:dyDescent="0.2">
      <c r="A500" s="375"/>
      <c r="B500" s="376"/>
      <c r="C500" s="377"/>
      <c r="D500" s="374"/>
      <c r="E500" s="374"/>
      <c r="F500" s="374"/>
      <c r="G500" s="374"/>
      <c r="H500" s="289"/>
      <c r="I500" s="289"/>
      <c r="J500" s="1310"/>
    </row>
    <row r="501" spans="1:10" s="803" customFormat="1" x14ac:dyDescent="0.2">
      <c r="A501" s="375"/>
      <c r="B501" s="376"/>
      <c r="C501" s="1921" t="s">
        <v>428</v>
      </c>
      <c r="D501" s="1921"/>
      <c r="E501" s="1921"/>
      <c r="F501" s="1921"/>
      <c r="G501" s="1921"/>
      <c r="H501" s="289"/>
      <c r="I501" s="289"/>
      <c r="J501" s="1310"/>
    </row>
    <row r="502" spans="1:10" s="803" customFormat="1" ht="14.1" customHeight="1" x14ac:dyDescent="0.2">
      <c r="A502" s="375"/>
      <c r="B502" s="376"/>
      <c r="C502" s="699" t="s">
        <v>208</v>
      </c>
      <c r="D502" s="700">
        <f>D174+D234+D275+D355+D361+D416+D290+D157+D105+D96+D367+D373+D260+D241+D410+D428+D25+D55+D132+D185+D471+D218+D282+D404+D434+D269+D309+D315+D119+D465+D422+D191+D477+D349</f>
        <v>263644099.90000001</v>
      </c>
      <c r="E502" s="700">
        <f>E174+E234+E275+E355+E361+E416+E290+E157+E105+E96+E367+E373+E260+E241+E410+E428+E25+E55+E132+E185+E471+E218+E282+E404+E434+E269+E309+E315+E119+E465+E422+E191+E477+E349</f>
        <v>254642999.90000001</v>
      </c>
      <c r="F502" s="700">
        <f>F174+F234+F275+F355+F361+F416+F290+F157+F105+F96+F367+F373+F260+F241+F410+F428+F25+F55+F132+F185+F471+F218+F282+F404+F434+F269+F309+F315+F119+F465+F422+F191+F477+F349</f>
        <v>128071451.72999999</v>
      </c>
      <c r="G502" s="700">
        <f>G174+G234+G275+G355+G361+G416+G290+G157+G105+G96+G367+G373+G260+G241+G410+G428+G25+G55+G132+G185+G471+G218+G282+G404+G434+G269+G309+G315+G119+G465+G422+G191+G477+G349</f>
        <v>9001100</v>
      </c>
      <c r="H502" s="289"/>
      <c r="I502" s="289"/>
      <c r="J502" s="1310"/>
    </row>
    <row r="503" spans="1:10" s="803" customFormat="1" x14ac:dyDescent="0.2">
      <c r="A503" s="375"/>
      <c r="B503" s="376"/>
      <c r="C503" s="699" t="s">
        <v>209</v>
      </c>
      <c r="D503" s="700">
        <f>D175+D235+D276+D356+D362+D417+D291+D158+D106+D97+D368+D374+D261+D242+D411+D429+D26+D56+D133+D186+D472+D219+D283+D405+D435+D270+D310+D316+D124+D120+D466+D423+D192+D478+D350</f>
        <v>1737964617.52</v>
      </c>
      <c r="E503" s="700">
        <f>E175+E235+E276+E356+E362+E417+E291+E158+E106+E97+E368+E374+E261+E242+E411+E429+E26+E56+E133+E186+E472+E219+E283+E405+E435+E270+E310+E316+E124+E120+E466+E423+E192+E478+E350</f>
        <v>1696995541.5799999</v>
      </c>
      <c r="F503" s="700">
        <f>F175+F235+F276+F356+F362+F417+F291+F158+F106+F97+F368+F374+F261+F242+F411+F429+F26+F56+F133+F186+F472+F219+F283+F405+F435+F270+F310+F316+F124+F120+F466+F423+F192+F478+F350</f>
        <v>959113407.52999997</v>
      </c>
      <c r="G503" s="700">
        <f>G175+G235+G276+G356+G362+G417+G291+G158+G106+G97+G368+G374+G261+G242+G411+G429+G26+G56+G133+G186+G472+G219+G283+G405+G435+G270+G310+G316+G124+G120+G466+G423+G192+G478+G350</f>
        <v>40969075.939999998</v>
      </c>
      <c r="H503" s="289"/>
      <c r="I503" s="289"/>
      <c r="J503" s="1310"/>
    </row>
    <row r="504" spans="1:10" s="803" customFormat="1" x14ac:dyDescent="0.2">
      <c r="A504" s="375"/>
      <c r="B504" s="376"/>
      <c r="C504" s="699" t="s">
        <v>316</v>
      </c>
      <c r="D504" s="700">
        <f>D292+D220+D176+D284+D243+D121</f>
        <v>754569900</v>
      </c>
      <c r="E504" s="700">
        <f t="shared" ref="E504:G504" si="328">E292+E220+E176+E284+E243+E121</f>
        <v>752531382.17000008</v>
      </c>
      <c r="F504" s="700">
        <f t="shared" si="328"/>
        <v>544367407.70000005</v>
      </c>
      <c r="G504" s="700">
        <f t="shared" si="328"/>
        <v>2038517.8299999833</v>
      </c>
      <c r="H504" s="289"/>
      <c r="I504" s="289"/>
      <c r="J504" s="1310"/>
    </row>
    <row r="505" spans="1:10" s="803" customFormat="1" x14ac:dyDescent="0.2">
      <c r="A505" s="375"/>
      <c r="B505" s="376"/>
      <c r="C505" s="699" t="s">
        <v>15</v>
      </c>
      <c r="D505" s="700">
        <f>SUM(D502:D504)</f>
        <v>2756178617.4200001</v>
      </c>
      <c r="E505" s="700">
        <f t="shared" ref="E505:G505" si="329">SUM(E502:E504)</f>
        <v>2704169923.6500001</v>
      </c>
      <c r="F505" s="700">
        <f t="shared" si="329"/>
        <v>1631552266.96</v>
      </c>
      <c r="G505" s="700">
        <f t="shared" si="329"/>
        <v>52008693.769999981</v>
      </c>
      <c r="H505" s="289"/>
      <c r="I505" s="289"/>
      <c r="J505" s="1310"/>
    </row>
    <row r="506" spans="1:10" s="803" customFormat="1" x14ac:dyDescent="0.2">
      <c r="A506" s="375"/>
      <c r="B506" s="376"/>
      <c r="C506" s="377"/>
      <c r="D506" s="730">
        <f>D505-D510</f>
        <v>7422123</v>
      </c>
      <c r="E506" s="374"/>
      <c r="F506" s="374"/>
      <c r="G506" s="374"/>
      <c r="H506" s="289"/>
      <c r="I506" s="289"/>
      <c r="J506" s="1310"/>
    </row>
    <row r="507" spans="1:10" s="803" customFormat="1" ht="30" x14ac:dyDescent="0.2">
      <c r="A507" s="375"/>
      <c r="B507" s="376"/>
      <c r="C507" s="377"/>
      <c r="D507" s="704" t="s">
        <v>257</v>
      </c>
      <c r="E507" s="374"/>
      <c r="F507" s="374"/>
      <c r="G507" s="374"/>
      <c r="H507" s="289"/>
      <c r="I507" s="289"/>
      <c r="J507" s="1310"/>
    </row>
    <row r="508" spans="1:10" s="803" customFormat="1" x14ac:dyDescent="0.2">
      <c r="A508" s="375"/>
      <c r="B508" s="376"/>
      <c r="C508" s="377"/>
      <c r="D508" s="704"/>
      <c r="E508" s="374"/>
      <c r="F508" s="374"/>
      <c r="G508" s="374"/>
      <c r="H508" s="289"/>
      <c r="I508" s="289"/>
      <c r="J508" s="1310"/>
    </row>
    <row r="509" spans="1:10" s="803" customFormat="1" x14ac:dyDescent="0.2">
      <c r="A509" s="375"/>
      <c r="B509" s="376"/>
      <c r="C509" s="438"/>
      <c r="D509" s="716" t="s">
        <v>44</v>
      </c>
      <c r="E509" s="374"/>
      <c r="F509" s="716" t="s">
        <v>44</v>
      </c>
      <c r="G509" s="374"/>
      <c r="H509" s="289"/>
      <c r="I509" s="289"/>
      <c r="J509" s="1310"/>
    </row>
    <row r="510" spans="1:10" s="803" customFormat="1" ht="45" x14ac:dyDescent="0.2">
      <c r="A510" s="375"/>
      <c r="B510" s="376"/>
      <c r="C510" s="283" t="s">
        <v>270</v>
      </c>
      <c r="D510" s="809">
        <f>SUM(D514:D515)</f>
        <v>2748756494.4200001</v>
      </c>
      <c r="F510" s="809">
        <f>SUM(F514:F515)</f>
        <v>1631552266.96</v>
      </c>
      <c r="G510" s="374"/>
      <c r="H510" s="289"/>
      <c r="I510" s="289"/>
      <c r="J510" s="1310"/>
    </row>
    <row r="511" spans="1:10" s="803" customFormat="1" x14ac:dyDescent="0.2">
      <c r="A511" s="375"/>
      <c r="B511" s="376"/>
      <c r="C511" s="438" t="s">
        <v>164</v>
      </c>
      <c r="D511" s="905">
        <f>D510-D505</f>
        <v>-7422123</v>
      </c>
      <c r="E511" s="374"/>
      <c r="F511" s="717">
        <f>F510-F505</f>
        <v>0</v>
      </c>
      <c r="G511" s="374"/>
      <c r="H511" s="289"/>
      <c r="I511" s="289"/>
      <c r="J511" s="1310"/>
    </row>
    <row r="512" spans="1:10" s="803" customFormat="1" x14ac:dyDescent="0.2">
      <c r="A512" s="375"/>
      <c r="B512" s="376"/>
      <c r="C512" s="377"/>
      <c r="D512" s="374"/>
      <c r="E512" s="374"/>
      <c r="F512" s="374"/>
      <c r="G512" s="374"/>
      <c r="H512" s="289"/>
      <c r="I512" s="289"/>
      <c r="J512" s="1310"/>
    </row>
    <row r="513" spans="1:10" s="803" customFormat="1" ht="15.75" thickBot="1" x14ac:dyDescent="0.25">
      <c r="A513" s="375"/>
      <c r="B513" s="376"/>
      <c r="C513" s="377"/>
      <c r="D513" s="374"/>
      <c r="E513" s="374"/>
      <c r="F513" s="374"/>
      <c r="G513" s="374"/>
      <c r="H513" s="289"/>
      <c r="I513" s="289"/>
      <c r="J513" s="1310"/>
    </row>
    <row r="514" spans="1:10" s="803" customFormat="1" ht="75.75" thickBot="1" x14ac:dyDescent="0.25">
      <c r="A514" s="375"/>
      <c r="B514" s="376"/>
      <c r="C514" s="377"/>
      <c r="D514" s="1644">
        <v>1950493217.9000001</v>
      </c>
      <c r="E514" s="283" t="s">
        <v>271</v>
      </c>
      <c r="F514" s="1644">
        <v>989765451.13999999</v>
      </c>
      <c r="G514" s="374"/>
      <c r="H514" s="289"/>
      <c r="I514" s="289"/>
      <c r="J514" s="1310"/>
    </row>
    <row r="515" spans="1:10" s="803" customFormat="1" ht="45.75" thickBot="1" x14ac:dyDescent="0.3">
      <c r="A515" s="375"/>
      <c r="B515" s="376"/>
      <c r="C515" s="377"/>
      <c r="D515" s="1428">
        <f>D122+D118</f>
        <v>798263276.51999998</v>
      </c>
      <c r="E515" s="270" t="s">
        <v>782</v>
      </c>
      <c r="F515" s="1428">
        <f>F122+F118</f>
        <v>641786815.81999993</v>
      </c>
      <c r="G515" s="374"/>
      <c r="H515" s="289"/>
      <c r="I515" s="289"/>
      <c r="J515" s="1310"/>
    </row>
    <row r="516" spans="1:10" s="803" customFormat="1" x14ac:dyDescent="0.2">
      <c r="A516" s="375"/>
      <c r="B516" s="376"/>
      <c r="C516" s="377"/>
      <c r="D516" s="374"/>
      <c r="E516" s="374"/>
      <c r="F516" s="374"/>
      <c r="G516" s="374"/>
      <c r="H516" s="289"/>
      <c r="I516" s="289"/>
      <c r="J516" s="1310"/>
    </row>
    <row r="517" spans="1:10" s="803" customFormat="1" x14ac:dyDescent="0.2">
      <c r="A517" s="375"/>
      <c r="B517" s="376"/>
      <c r="C517" s="377"/>
      <c r="D517" s="374"/>
      <c r="E517" s="374"/>
      <c r="F517" s="374"/>
      <c r="G517" s="374"/>
      <c r="H517" s="289"/>
      <c r="I517" s="289"/>
      <c r="J517" s="1310"/>
    </row>
    <row r="518" spans="1:10" s="803" customFormat="1" x14ac:dyDescent="0.2">
      <c r="A518" s="375"/>
      <c r="B518" s="376"/>
      <c r="C518" s="377"/>
      <c r="D518" s="374"/>
      <c r="E518" s="438"/>
      <c r="F518" s="441" t="s">
        <v>44</v>
      </c>
      <c r="G518" s="374"/>
      <c r="H518" s="289"/>
      <c r="I518" s="289"/>
      <c r="J518" s="1310"/>
    </row>
    <row r="519" spans="1:10" s="803" customFormat="1" x14ac:dyDescent="0.2">
      <c r="A519" s="375"/>
      <c r="B519" s="376"/>
      <c r="C519" s="377"/>
      <c r="D519" s="374"/>
      <c r="E519" s="438" t="s">
        <v>210</v>
      </c>
      <c r="F519" s="822">
        <v>1527421379.54</v>
      </c>
      <c r="G519" s="374"/>
      <c r="H519" s="289"/>
      <c r="I519" s="799" t="s">
        <v>228</v>
      </c>
      <c r="J519" s="1310"/>
    </row>
    <row r="520" spans="1:10" s="803" customFormat="1" x14ac:dyDescent="0.2">
      <c r="A520" s="375"/>
      <c r="B520" s="376"/>
      <c r="C520" s="377"/>
      <c r="D520" s="374"/>
      <c r="E520" s="438" t="s">
        <v>164</v>
      </c>
      <c r="F520" s="455">
        <f>F519-F488-F503-F496</f>
        <v>0</v>
      </c>
      <c r="G520" s="374"/>
      <c r="H520" s="289"/>
      <c r="I520" s="289"/>
      <c r="J520" s="1310"/>
    </row>
    <row r="521" spans="1:10" s="803" customFormat="1" x14ac:dyDescent="0.2">
      <c r="A521" s="375"/>
      <c r="B521" s="376"/>
      <c r="C521" s="377"/>
      <c r="D521" s="374"/>
      <c r="E521" s="374"/>
      <c r="F521" s="374"/>
      <c r="G521" s="374"/>
      <c r="H521" s="289"/>
      <c r="I521" s="289"/>
      <c r="J521" s="1310"/>
    </row>
    <row r="522" spans="1:10" s="803" customFormat="1" x14ac:dyDescent="0.2">
      <c r="A522" s="375"/>
      <c r="B522" s="376"/>
      <c r="C522" s="377"/>
      <c r="D522" s="374"/>
      <c r="E522" s="374"/>
      <c r="F522" s="374"/>
      <c r="G522" s="374"/>
      <c r="H522" s="289"/>
      <c r="I522" s="289"/>
      <c r="J522" s="1310"/>
    </row>
    <row r="523" spans="1:10" ht="19.5" thickBot="1" x14ac:dyDescent="0.25">
      <c r="C523" s="255" t="s">
        <v>43</v>
      </c>
      <c r="D523" s="1546">
        <v>6157007740.8299999</v>
      </c>
      <c r="E523" s="810"/>
      <c r="F523" s="805"/>
    </row>
    <row r="524" spans="1:10" ht="15.75" thickBot="1" x14ac:dyDescent="0.25">
      <c r="C524" s="255" t="s">
        <v>44</v>
      </c>
      <c r="D524" s="1607">
        <v>6203105540.8299999</v>
      </c>
      <c r="E524" s="811"/>
      <c r="F524" s="812">
        <f>[1]Субсидия_факт!$E$36</f>
        <v>6274455.4134</v>
      </c>
      <c r="G524" s="813">
        <f>F524*1000-D480</f>
        <v>71349872.566999435</v>
      </c>
      <c r="I524" s="799" t="s">
        <v>227</v>
      </c>
    </row>
    <row r="525" spans="1:10" ht="25.5" x14ac:dyDescent="0.2">
      <c r="D525" s="1547"/>
      <c r="E525" s="805"/>
      <c r="F525" s="702" t="s">
        <v>252</v>
      </c>
      <c r="G525" s="702" t="s">
        <v>253</v>
      </c>
    </row>
    <row r="526" spans="1:10" x14ac:dyDescent="0.2">
      <c r="B526" s="701" t="s">
        <v>45</v>
      </c>
      <c r="C526" s="255" t="s">
        <v>43</v>
      </c>
      <c r="D526" s="703">
        <f>D523-D480</f>
        <v>-46097800.003000259</v>
      </c>
      <c r="E526" s="805"/>
      <c r="F526" s="805"/>
      <c r="G526" s="814">
        <f>F524*1000-D524</f>
        <v>71349872.569999695</v>
      </c>
    </row>
    <row r="527" spans="1:10" x14ac:dyDescent="0.2">
      <c r="C527" s="255" t="s">
        <v>44</v>
      </c>
      <c r="D527" s="703">
        <f>D524-D480</f>
        <v>-3.0002593994140625E-3</v>
      </c>
      <c r="F527" s="815"/>
      <c r="G527" s="702" t="s">
        <v>254</v>
      </c>
    </row>
    <row r="528" spans="1:10" s="801" customFormat="1" x14ac:dyDescent="0.2">
      <c r="C528" s="256"/>
      <c r="D528" s="256"/>
      <c r="H528" s="816"/>
      <c r="I528" s="816"/>
      <c r="J528" s="1524"/>
    </row>
    <row r="529" spans="1:10" s="801" customFormat="1" x14ac:dyDescent="0.2">
      <c r="C529" s="256"/>
      <c r="D529" s="256"/>
      <c r="E529" s="817">
        <f>E530-'Проверочная  таблица'!AM38</f>
        <v>0</v>
      </c>
      <c r="F529" s="817">
        <f>F530-'Проверочная  таблица'!AS38</f>
        <v>0</v>
      </c>
      <c r="H529" s="816"/>
      <c r="I529" s="816"/>
      <c r="J529" s="1524"/>
    </row>
    <row r="530" spans="1:10" ht="178.5" x14ac:dyDescent="0.2">
      <c r="A530" s="1916"/>
      <c r="B530" s="477" t="s">
        <v>221</v>
      </c>
      <c r="C530" s="144" t="s">
        <v>199</v>
      </c>
      <c r="D530" s="452">
        <f t="shared" ref="D530:G532" si="330">D381+D297+D244+D12+D389+D452+D317+D331+D436</f>
        <v>153443963.91999999</v>
      </c>
      <c r="E530" s="452">
        <f t="shared" si="330"/>
        <v>153443963.91999999</v>
      </c>
      <c r="F530" s="452">
        <f t="shared" si="330"/>
        <v>68075132.200000003</v>
      </c>
      <c r="G530" s="452">
        <f t="shared" si="330"/>
        <v>0</v>
      </c>
      <c r="H530" s="289">
        <f>IF(F530&gt;E530,1,0)</f>
        <v>0</v>
      </c>
      <c r="I530" s="289">
        <f>IF(G530&lt;0,1,0)</f>
        <v>0</v>
      </c>
    </row>
    <row r="531" spans="1:10" x14ac:dyDescent="0.2">
      <c r="A531" s="1916"/>
      <c r="B531" s="887" t="s">
        <v>146</v>
      </c>
      <c r="C531" s="888"/>
      <c r="D531" s="889">
        <f t="shared" si="330"/>
        <v>76619739.919999987</v>
      </c>
      <c r="E531" s="889">
        <f t="shared" si="330"/>
        <v>76619739.919999987</v>
      </c>
      <c r="F531" s="889">
        <f t="shared" si="330"/>
        <v>49711894.310000002</v>
      </c>
      <c r="G531" s="889">
        <f t="shared" si="330"/>
        <v>0</v>
      </c>
      <c r="H531" s="289">
        <f>IF(F531&gt;E531,1,0)</f>
        <v>0</v>
      </c>
      <c r="I531" s="289">
        <f>IF(G531&lt;0,1,0)</f>
        <v>0</v>
      </c>
    </row>
    <row r="532" spans="1:10" x14ac:dyDescent="0.2">
      <c r="A532" s="1916"/>
      <c r="B532" s="887" t="s">
        <v>147</v>
      </c>
      <c r="C532" s="890"/>
      <c r="D532" s="889">
        <f t="shared" si="330"/>
        <v>76824224</v>
      </c>
      <c r="E532" s="889">
        <f t="shared" si="330"/>
        <v>76824224</v>
      </c>
      <c r="F532" s="889">
        <f t="shared" si="330"/>
        <v>18363237.890000001</v>
      </c>
      <c r="G532" s="889">
        <f t="shared" si="330"/>
        <v>0</v>
      </c>
      <c r="H532" s="289">
        <f>IF(F532&gt;E532,1,0)</f>
        <v>0</v>
      </c>
      <c r="I532" s="289">
        <f>IF(G532&lt;0,1,0)</f>
        <v>0</v>
      </c>
    </row>
  </sheetData>
  <mergeCells count="10">
    <mergeCell ref="A530:A532"/>
    <mergeCell ref="I487:L487"/>
    <mergeCell ref="A2:G2"/>
    <mergeCell ref="A3:G3"/>
    <mergeCell ref="A4:G4"/>
    <mergeCell ref="C501:G501"/>
    <mergeCell ref="E492:F492"/>
    <mergeCell ref="E498:F498"/>
    <mergeCell ref="E493:F493"/>
    <mergeCell ref="G487:G488"/>
  </mergeCells>
  <phoneticPr fontId="0" type="noConversion"/>
  <pageMargins left="0.78740157480314965" right="0.39370078740157483" top="0.78740157480314965" bottom="0.78740157480314965" header="0.51181102362204722" footer="0.51181102362204722"/>
  <pageSetup paperSize="9" scale="56" fitToHeight="15" orientation="portrait" horizontalDpi="300" verticalDpi="300" r:id="rId1"/>
  <headerFooter alignWithMargins="0">
    <oddFooter>&amp;L&amp;P&amp;R&amp;Z&amp;F&amp;A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J23"/>
  <sheetViews>
    <sheetView topLeftCell="A2" zoomScale="70" zoomScaleNormal="70" workbookViewId="0">
      <pane xSplit="1" ySplit="4" topLeftCell="B18" activePane="bottomRight" state="frozen"/>
      <selection activeCell="D27" sqref="D27"/>
      <selection pane="topRight" activeCell="D27" sqref="D27"/>
      <selection pane="bottomLeft" activeCell="D27" sqref="D27"/>
      <selection pane="bottomRight" activeCell="C6" sqref="C6:C20"/>
    </sheetView>
  </sheetViews>
  <sheetFormatPr defaultColWidth="8.85546875" defaultRowHeight="15" x14ac:dyDescent="0.2"/>
  <cols>
    <col min="1" max="1" width="65.85546875" style="490" customWidth="1"/>
    <col min="2" max="2" width="18" style="490" customWidth="1"/>
    <col min="3" max="7" width="21.85546875" style="490" customWidth="1"/>
    <col min="8" max="8" width="22" style="490" customWidth="1"/>
    <col min="9" max="10" width="20.85546875" style="490" customWidth="1"/>
    <col min="11" max="16384" width="8.85546875" style="490"/>
  </cols>
  <sheetData>
    <row r="2" spans="1:10" x14ac:dyDescent="0.2">
      <c r="A2" s="1928" t="s">
        <v>754</v>
      </c>
      <c r="B2" s="1928"/>
      <c r="C2" s="1928"/>
      <c r="D2" s="1928"/>
      <c r="E2" s="1928"/>
      <c r="F2" s="1928"/>
      <c r="G2" s="1928"/>
      <c r="H2" s="1928"/>
      <c r="I2" s="1928"/>
    </row>
    <row r="4" spans="1:10" x14ac:dyDescent="0.2">
      <c r="I4" s="490" t="s">
        <v>755</v>
      </c>
    </row>
    <row r="5" spans="1:10" ht="25.5" x14ac:dyDescent="0.2">
      <c r="A5" s="185" t="s">
        <v>159</v>
      </c>
      <c r="B5" s="185" t="s">
        <v>18</v>
      </c>
      <c r="C5" s="185" t="s">
        <v>13</v>
      </c>
      <c r="D5" s="1312" t="s">
        <v>756</v>
      </c>
      <c r="E5" s="1312" t="s">
        <v>757</v>
      </c>
      <c r="F5" s="1312" t="s">
        <v>758</v>
      </c>
      <c r="G5" s="1312" t="s">
        <v>759</v>
      </c>
      <c r="H5" s="185" t="s">
        <v>161</v>
      </c>
      <c r="I5" s="185" t="s">
        <v>4</v>
      </c>
      <c r="J5" s="185" t="s">
        <v>160</v>
      </c>
    </row>
    <row r="6" spans="1:10" ht="165.75" x14ac:dyDescent="0.2">
      <c r="A6" s="802" t="s">
        <v>562</v>
      </c>
      <c r="B6" s="1313" t="s">
        <v>444</v>
      </c>
      <c r="C6" s="1315">
        <f>Субсидия!D402+Субсидия!D405</f>
        <v>143730436.94999999</v>
      </c>
      <c r="D6" s="1314">
        <v>143730436.94999999</v>
      </c>
      <c r="E6" s="1314">
        <v>58528754.009999998</v>
      </c>
      <c r="F6" s="1520">
        <f t="shared" ref="F6:F17" si="0">C6-D6</f>
        <v>0</v>
      </c>
      <c r="G6" s="1520">
        <f t="shared" ref="G6:G17" si="1">I6-E6</f>
        <v>0</v>
      </c>
      <c r="H6" s="1315">
        <f>Субсидия!E402+Субсидия!E405</f>
        <v>143730436.94999999</v>
      </c>
      <c r="I6" s="1315">
        <f>Субсидия!F402+Субсидия!F405</f>
        <v>58528754.009999998</v>
      </c>
      <c r="J6" s="1315">
        <f>C6-H6</f>
        <v>0</v>
      </c>
    </row>
    <row r="7" spans="1:10" ht="178.5" x14ac:dyDescent="0.2">
      <c r="A7" s="802" t="s">
        <v>408</v>
      </c>
      <c r="B7" s="1313" t="s">
        <v>405</v>
      </c>
      <c r="C7" s="1315">
        <f>Субсидия!D371+Субсидия!D374</f>
        <v>30146806</v>
      </c>
      <c r="D7" s="1314">
        <v>30146806</v>
      </c>
      <c r="E7" s="1314">
        <v>3601228.12</v>
      </c>
      <c r="F7" s="1520">
        <f t="shared" ref="F7" si="2">C7-D7</f>
        <v>0</v>
      </c>
      <c r="G7" s="1520">
        <f t="shared" ref="G7" si="3">I7-E7</f>
        <v>0</v>
      </c>
      <c r="H7" s="1315">
        <f>Субсидия!E371+Субсидия!E374</f>
        <v>30146806</v>
      </c>
      <c r="I7" s="1315">
        <f>Субсидия!F371+Субсидия!F374</f>
        <v>3601228.12</v>
      </c>
      <c r="J7" s="1315"/>
    </row>
    <row r="8" spans="1:10" ht="76.5" x14ac:dyDescent="0.2">
      <c r="A8" s="802" t="s">
        <v>533</v>
      </c>
      <c r="B8" s="1313" t="s">
        <v>532</v>
      </c>
      <c r="C8" s="1315">
        <f>Субсидия!D53+Субсидия!D56</f>
        <v>420664310.06999999</v>
      </c>
      <c r="D8" s="1314">
        <v>420664310.06999999</v>
      </c>
      <c r="E8" s="1314">
        <v>170204232.49000001</v>
      </c>
      <c r="F8" s="1520">
        <f t="shared" si="0"/>
        <v>0</v>
      </c>
      <c r="G8" s="1520">
        <f t="shared" si="1"/>
        <v>0</v>
      </c>
      <c r="H8" s="1315">
        <f>Субсидия!E53+Субсидия!E56</f>
        <v>354973518.56999999</v>
      </c>
      <c r="I8" s="1315">
        <f>Субсидия!F53+Субсидия!F56</f>
        <v>170204232.49000001</v>
      </c>
      <c r="J8" s="1315">
        <f t="shared" ref="J8:J18" si="4">C8-H8</f>
        <v>65690791.5</v>
      </c>
    </row>
    <row r="9" spans="1:10" ht="89.25" x14ac:dyDescent="0.2">
      <c r="A9" s="802" t="s">
        <v>837</v>
      </c>
      <c r="B9" s="1313" t="s">
        <v>838</v>
      </c>
      <c r="C9" s="1315">
        <f>Субсидия!D59</f>
        <v>17616670.640000001</v>
      </c>
      <c r="D9" s="1314">
        <v>17616670.640000001</v>
      </c>
      <c r="E9" s="1314">
        <v>0</v>
      </c>
      <c r="F9" s="1520">
        <f t="shared" ref="F9" si="5">C9-D9</f>
        <v>0</v>
      </c>
      <c r="G9" s="1520">
        <f t="shared" ref="G9" si="6">I9-E9</f>
        <v>0</v>
      </c>
      <c r="H9" s="1315">
        <f>Субсидия!E59</f>
        <v>0</v>
      </c>
      <c r="I9" s="1315">
        <f>Субсидия!F59</f>
        <v>0</v>
      </c>
      <c r="J9" s="1315">
        <f>Субсидия!G59</f>
        <v>17616670.640000001</v>
      </c>
    </row>
    <row r="10" spans="1:10" ht="114.75" x14ac:dyDescent="0.2">
      <c r="A10" s="477" t="s">
        <v>221</v>
      </c>
      <c r="B10" s="1313" t="s">
        <v>199</v>
      </c>
      <c r="C10" s="1315">
        <f>Субсидия!D532</f>
        <v>76824224</v>
      </c>
      <c r="D10" s="1314">
        <v>76824224</v>
      </c>
      <c r="E10" s="1314">
        <v>18363237.890000001</v>
      </c>
      <c r="F10" s="1520">
        <f t="shared" si="0"/>
        <v>0</v>
      </c>
      <c r="G10" s="1520">
        <f t="shared" si="1"/>
        <v>0</v>
      </c>
      <c r="H10" s="1315">
        <f>Субсидия!E532</f>
        <v>76824224</v>
      </c>
      <c r="I10" s="1315">
        <f>Субсидия!F532</f>
        <v>18363237.890000001</v>
      </c>
      <c r="J10" s="1315">
        <f t="shared" si="4"/>
        <v>0</v>
      </c>
    </row>
    <row r="11" spans="1:10" ht="178.5" x14ac:dyDescent="0.2">
      <c r="A11" s="475" t="s">
        <v>493</v>
      </c>
      <c r="B11" s="1313" t="s">
        <v>682</v>
      </c>
      <c r="C11" s="1315">
        <f>Субсидия!D124</f>
        <v>798263276.51999998</v>
      </c>
      <c r="D11" s="1314">
        <v>798263276.51999998</v>
      </c>
      <c r="E11" s="1314">
        <v>641786815.82000005</v>
      </c>
      <c r="F11" s="1520">
        <f t="shared" si="0"/>
        <v>0</v>
      </c>
      <c r="G11" s="1520">
        <f t="shared" si="1"/>
        <v>0</v>
      </c>
      <c r="H11" s="1315">
        <f>Субсидия!E124</f>
        <v>798263276.51999998</v>
      </c>
      <c r="I11" s="1315">
        <f>Субсидия!F124</f>
        <v>641786815.81999993</v>
      </c>
      <c r="J11" s="1315">
        <f t="shared" si="4"/>
        <v>0</v>
      </c>
    </row>
    <row r="12" spans="1:10" ht="165.75" x14ac:dyDescent="0.2">
      <c r="A12" s="482" t="s">
        <v>659</v>
      </c>
      <c r="B12" s="1313" t="s">
        <v>658</v>
      </c>
      <c r="C12" s="1315">
        <f>Субсидия!D127</f>
        <v>98609360.170000002</v>
      </c>
      <c r="D12" s="1314">
        <v>98609360.170000002</v>
      </c>
      <c r="E12" s="1314">
        <v>79198760.790000007</v>
      </c>
      <c r="F12" s="1520">
        <f t="shared" si="0"/>
        <v>0</v>
      </c>
      <c r="G12" s="1520">
        <f t="shared" si="1"/>
        <v>0</v>
      </c>
      <c r="H12" s="1315">
        <f>Субсидия!E127</f>
        <v>98609360.170000002</v>
      </c>
      <c r="I12" s="1315">
        <f>Субсидия!F127</f>
        <v>79198760.790000007</v>
      </c>
      <c r="J12" s="1315">
        <f t="shared" si="4"/>
        <v>0</v>
      </c>
    </row>
    <row r="13" spans="1:10" ht="89.25" x14ac:dyDescent="0.2">
      <c r="A13" s="482" t="s">
        <v>225</v>
      </c>
      <c r="B13" s="1313" t="s">
        <v>204</v>
      </c>
      <c r="C13" s="1315">
        <f>Субсидия!D457</f>
        <v>41465177.850000001</v>
      </c>
      <c r="D13" s="1314">
        <v>41465177.850000001</v>
      </c>
      <c r="E13" s="1314">
        <v>976839</v>
      </c>
      <c r="F13" s="1520">
        <f t="shared" ref="F13" si="7">C13-D13</f>
        <v>0</v>
      </c>
      <c r="G13" s="1520">
        <f t="shared" ref="G13" si="8">I13-E13</f>
        <v>0</v>
      </c>
      <c r="H13" s="1315">
        <f>Субсидия!E457</f>
        <v>41465177.850000001</v>
      </c>
      <c r="I13" s="1315">
        <f>Субсидия!F457</f>
        <v>976839</v>
      </c>
      <c r="J13" s="1315"/>
    </row>
    <row r="14" spans="1:10" ht="114.75" x14ac:dyDescent="0.2">
      <c r="A14" s="482" t="s">
        <v>308</v>
      </c>
      <c r="B14" s="1313" t="s">
        <v>307</v>
      </c>
      <c r="C14" s="1315">
        <f>Субсидия!D145</f>
        <v>14000000</v>
      </c>
      <c r="D14" s="1314">
        <v>14000000</v>
      </c>
      <c r="E14" s="1314">
        <v>0</v>
      </c>
      <c r="F14" s="1520">
        <f t="shared" si="0"/>
        <v>0</v>
      </c>
      <c r="G14" s="1520">
        <f t="shared" si="1"/>
        <v>0</v>
      </c>
      <c r="H14" s="1315">
        <f>Субсидия!E145</f>
        <v>14000000</v>
      </c>
      <c r="I14" s="1315">
        <f>Субсидия!F145</f>
        <v>0</v>
      </c>
      <c r="J14" s="1315">
        <f t="shared" si="4"/>
        <v>0</v>
      </c>
    </row>
    <row r="15" spans="1:10" ht="153" x14ac:dyDescent="0.2">
      <c r="A15" s="482" t="s">
        <v>226</v>
      </c>
      <c r="B15" s="1313" t="s">
        <v>207</v>
      </c>
      <c r="C15" s="1315">
        <f>Субсидия!D62</f>
        <v>233947806.21000001</v>
      </c>
      <c r="D15" s="1314">
        <v>233947806.21000001</v>
      </c>
      <c r="E15" s="1314">
        <v>90813101.620000005</v>
      </c>
      <c r="F15" s="1520">
        <f t="shared" si="0"/>
        <v>0</v>
      </c>
      <c r="G15" s="1520">
        <f t="shared" si="1"/>
        <v>0</v>
      </c>
      <c r="H15" s="1315">
        <f>Субсидия!E62</f>
        <v>213944999.85000002</v>
      </c>
      <c r="I15" s="1315">
        <f>Субсидия!F62</f>
        <v>90813101.620000005</v>
      </c>
      <c r="J15" s="1315">
        <f t="shared" si="4"/>
        <v>20002806.359999985</v>
      </c>
    </row>
    <row r="16" spans="1:10" ht="89.25" x14ac:dyDescent="0.2">
      <c r="A16" s="480" t="s">
        <v>328</v>
      </c>
      <c r="B16" s="1313" t="s">
        <v>327</v>
      </c>
      <c r="C16" s="1315">
        <f>Субсидия!D68</f>
        <v>331198075.49000001</v>
      </c>
      <c r="D16" s="1314">
        <v>331198075.49000001</v>
      </c>
      <c r="E16" s="1314">
        <v>208276717.5</v>
      </c>
      <c r="F16" s="1520">
        <f t="shared" si="0"/>
        <v>0</v>
      </c>
      <c r="G16" s="1520">
        <f t="shared" si="1"/>
        <v>0</v>
      </c>
      <c r="H16" s="1315">
        <f>Субсидия!E68</f>
        <v>331198075.49000001</v>
      </c>
      <c r="I16" s="1315">
        <f>Субсидия!F68</f>
        <v>208276717.5</v>
      </c>
      <c r="J16" s="1315">
        <f t="shared" si="4"/>
        <v>0</v>
      </c>
    </row>
    <row r="17" spans="1:10" ht="153" x14ac:dyDescent="0.2">
      <c r="A17" s="480" t="s">
        <v>657</v>
      </c>
      <c r="B17" s="1313" t="s">
        <v>656</v>
      </c>
      <c r="C17" s="1315">
        <f>Субсидия!D74</f>
        <v>197815770.14999998</v>
      </c>
      <c r="D17" s="1314">
        <v>197815770.15000001</v>
      </c>
      <c r="E17" s="1314">
        <v>107339007.56999999</v>
      </c>
      <c r="F17" s="1520">
        <f t="shared" si="0"/>
        <v>0</v>
      </c>
      <c r="G17" s="1520">
        <f t="shared" si="1"/>
        <v>0</v>
      </c>
      <c r="H17" s="1315">
        <f>Субсидия!E74</f>
        <v>182815770.14999998</v>
      </c>
      <c r="I17" s="1315">
        <f>Субсидия!F74</f>
        <v>107339007.56999999</v>
      </c>
      <c r="J17" s="1315">
        <f t="shared" si="4"/>
        <v>15000000</v>
      </c>
    </row>
    <row r="18" spans="1:10" ht="153" x14ac:dyDescent="0.2">
      <c r="A18" s="480" t="s">
        <v>784</v>
      </c>
      <c r="B18" s="1313" t="s">
        <v>580</v>
      </c>
      <c r="C18" s="1315">
        <f>Субсидия!D130+Субсидия!D133</f>
        <v>30236421.050000001</v>
      </c>
      <c r="D18" s="1314">
        <v>30236421.050000001</v>
      </c>
      <c r="E18" s="1314">
        <v>11877721.65</v>
      </c>
      <c r="F18" s="1520">
        <f>C18-D18</f>
        <v>0</v>
      </c>
      <c r="G18" s="1520">
        <f>I18-E18</f>
        <v>0</v>
      </c>
      <c r="H18" s="1315">
        <f>Субсидия!E130+Субсидия!E133</f>
        <v>30236421.050000001</v>
      </c>
      <c r="I18" s="1315">
        <f>Субсидия!F130+Субсидия!F133</f>
        <v>11877721.65</v>
      </c>
      <c r="J18" s="1315">
        <f t="shared" si="4"/>
        <v>0</v>
      </c>
    </row>
    <row r="19" spans="1:10" ht="102" x14ac:dyDescent="0.2">
      <c r="A19" s="480" t="s">
        <v>584</v>
      </c>
      <c r="B19" s="1313" t="s">
        <v>583</v>
      </c>
      <c r="C19" s="1315">
        <f>Субсидия!D469+Субсидия!D472</f>
        <v>156839469.44</v>
      </c>
      <c r="D19" s="1314">
        <v>156839469.44</v>
      </c>
      <c r="E19" s="1314">
        <v>109618958.12</v>
      </c>
      <c r="F19" s="1520">
        <f>C19-D19</f>
        <v>0</v>
      </c>
      <c r="G19" s="1520">
        <f>I19-E19</f>
        <v>0</v>
      </c>
      <c r="H19" s="1315">
        <f>Субсидия!E469+Субсидия!E472</f>
        <v>156839469.44</v>
      </c>
      <c r="I19" s="1315">
        <f>Субсидия!F469+Субсидия!F472</f>
        <v>109618958.12</v>
      </c>
      <c r="J19" s="1315">
        <f>C19-H19</f>
        <v>0</v>
      </c>
    </row>
    <row r="20" spans="1:10" ht="114.75" x14ac:dyDescent="0.2">
      <c r="A20" s="480" t="s">
        <v>812</v>
      </c>
      <c r="B20" s="1313" t="s">
        <v>810</v>
      </c>
      <c r="C20" s="1315">
        <f>Субсидия!D463+Субсидия!D466</f>
        <v>301462631.56999999</v>
      </c>
      <c r="D20" s="1314">
        <v>301462631.56999999</v>
      </c>
      <c r="E20" s="1314">
        <v>26836004.960000001</v>
      </c>
      <c r="F20" s="1520">
        <f>C20-D20</f>
        <v>0</v>
      </c>
      <c r="G20" s="1520">
        <f>I20-E20</f>
        <v>0</v>
      </c>
      <c r="H20" s="1315">
        <f>Субсидия!E463+Субсидия!E466</f>
        <v>301462631.56999999</v>
      </c>
      <c r="I20" s="1315">
        <f>Субсидия!F463+Субсидия!F466</f>
        <v>26836004.960000001</v>
      </c>
      <c r="J20" s="1315"/>
    </row>
    <row r="21" spans="1:10" x14ac:dyDescent="0.2">
      <c r="A21" s="1316" t="s">
        <v>136</v>
      </c>
      <c r="B21" s="1317"/>
      <c r="C21" s="1318">
        <f t="shared" ref="C21:J21" si="9">SUM(C6:C20)</f>
        <v>2892820436.1100001</v>
      </c>
      <c r="D21" s="1318">
        <f t="shared" si="9"/>
        <v>2892820436.1100001</v>
      </c>
      <c r="E21" s="1318">
        <f t="shared" si="9"/>
        <v>1527421379.54</v>
      </c>
      <c r="F21" s="1521">
        <f t="shared" si="9"/>
        <v>0</v>
      </c>
      <c r="G21" s="1521">
        <f t="shared" si="9"/>
        <v>0</v>
      </c>
      <c r="H21" s="1318">
        <f t="shared" si="9"/>
        <v>2774510167.6100001</v>
      </c>
      <c r="I21" s="1318">
        <f t="shared" si="9"/>
        <v>1527421379.54</v>
      </c>
      <c r="J21" s="1318">
        <f t="shared" si="9"/>
        <v>118310268.49999999</v>
      </c>
    </row>
    <row r="22" spans="1:10" x14ac:dyDescent="0.2">
      <c r="C22" s="1319">
        <f>C21-Субсидия!D482</f>
        <v>0</v>
      </c>
      <c r="D22" s="1319"/>
      <c r="E22" s="1319"/>
      <c r="F22" s="1522"/>
      <c r="G22" s="1522"/>
      <c r="H22" s="1319">
        <f>H21-Субсидия!E482</f>
        <v>0</v>
      </c>
      <c r="I22" s="1319">
        <f>I21-Субсидия!F482</f>
        <v>0</v>
      </c>
      <c r="J22" s="1319">
        <f>J21-Субсидия!G482</f>
        <v>0</v>
      </c>
    </row>
    <row r="23" spans="1:10" x14ac:dyDescent="0.2">
      <c r="C23" s="1319">
        <f>C21-Субсидия!D488</f>
        <v>0</v>
      </c>
      <c r="D23" s="1319"/>
      <c r="E23" s="1319"/>
      <c r="F23" s="1522"/>
      <c r="G23" s="1522"/>
      <c r="H23" s="1319"/>
      <c r="I23" s="1319"/>
      <c r="J23" s="1319"/>
    </row>
  </sheetData>
  <mergeCells count="1">
    <mergeCell ref="A2:I2"/>
  </mergeCells>
  <pageMargins left="0.78740157480314965" right="0.39370078740157483" top="0.59055118110236227" bottom="0.59055118110236227" header="0.31496062992125984" footer="0.31496062992125984"/>
  <pageSetup paperSize="9" scale="53" fitToHeight="3" orientation="landscape" horizontalDpi="300" verticalDpi="300" r:id="rId1"/>
  <headerFooter>
    <oddFooter>&amp;L&amp;P&amp;R&amp;Z&amp;F&amp;A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3"/>
  <sheetViews>
    <sheetView zoomScale="80" zoomScaleNormal="80" workbookViewId="0">
      <pane xSplit="1" ySplit="7" topLeftCell="B8" activePane="bottomRight" state="frozen"/>
      <selection pane="topRight" activeCell="B1" sqref="B1"/>
      <selection pane="bottomLeft" activeCell="A6" sqref="A6"/>
      <selection pane="bottomRight" activeCell="A29" sqref="A29:XFD29"/>
    </sheetView>
  </sheetViews>
  <sheetFormatPr defaultColWidth="9.140625" defaultRowHeight="15" x14ac:dyDescent="0.2"/>
  <cols>
    <col min="1" max="1" width="12" style="356" customWidth="1"/>
    <col min="2" max="2" width="44.85546875" style="356" customWidth="1"/>
    <col min="3" max="3" width="17.42578125" style="356" customWidth="1"/>
    <col min="4" max="4" width="18.140625" style="356" customWidth="1"/>
    <col min="5" max="5" width="17.85546875" style="356" customWidth="1"/>
    <col min="6" max="6" width="17.5703125" style="356" customWidth="1"/>
    <col min="7" max="7" width="20.140625" style="356" customWidth="1"/>
    <col min="8" max="8" width="11.42578125" style="356" bestFit="1" customWidth="1"/>
    <col min="9" max="9" width="11.42578125" style="490" bestFit="1" customWidth="1"/>
    <col min="10" max="10" width="16.5703125" style="356" bestFit="1" customWidth="1"/>
    <col min="11" max="16384" width="9.140625" style="356"/>
  </cols>
  <sheetData>
    <row r="2" spans="1:9" ht="15.75" x14ac:dyDescent="0.2">
      <c r="A2" s="1908" t="s">
        <v>802</v>
      </c>
      <c r="B2" s="1908"/>
      <c r="C2" s="1908"/>
      <c r="D2" s="1908"/>
      <c r="E2" s="1908"/>
      <c r="F2" s="1908"/>
      <c r="G2" s="1908"/>
    </row>
    <row r="3" spans="1:9" ht="15.75" x14ac:dyDescent="0.2">
      <c r="A3" s="1909" t="str">
        <f>'Проверочная  таблица'!H3</f>
        <v>ПО  СОСТОЯНИЮ  НА  1  ОКТЯБРЯ  2021  ГОДА</v>
      </c>
      <c r="B3" s="1909"/>
      <c r="C3" s="1909"/>
      <c r="D3" s="1909"/>
      <c r="E3" s="1909"/>
      <c r="F3" s="1909"/>
      <c r="G3" s="1909"/>
    </row>
    <row r="4" spans="1:9" ht="15.75" x14ac:dyDescent="0.2">
      <c r="A4" s="1929" t="s">
        <v>803</v>
      </c>
      <c r="B4" s="1929"/>
      <c r="C4" s="1929"/>
      <c r="D4" s="1929"/>
      <c r="E4" s="1929"/>
      <c r="F4" s="1929"/>
      <c r="G4" s="1929"/>
    </row>
    <row r="6" spans="1:9" x14ac:dyDescent="0.2">
      <c r="F6" s="356" t="s">
        <v>20</v>
      </c>
    </row>
    <row r="7" spans="1:9" s="175" customFormat="1" ht="25.5" x14ac:dyDescent="0.2">
      <c r="A7" s="185" t="s">
        <v>112</v>
      </c>
      <c r="B7" s="185" t="s">
        <v>159</v>
      </c>
      <c r="C7" s="185" t="s">
        <v>18</v>
      </c>
      <c r="D7" s="185" t="s">
        <v>13</v>
      </c>
      <c r="E7" s="185" t="s">
        <v>161</v>
      </c>
      <c r="F7" s="185" t="s">
        <v>4</v>
      </c>
      <c r="G7" s="185" t="s">
        <v>160</v>
      </c>
      <c r="I7" s="392"/>
    </row>
    <row r="8" spans="1:9" s="175" customFormat="1" x14ac:dyDescent="0.2">
      <c r="A8" s="187"/>
      <c r="B8" s="251"/>
      <c r="C8" s="196"/>
      <c r="D8" s="199">
        <f>SUM(D10:D10)</f>
        <v>0</v>
      </c>
      <c r="E8" s="199">
        <f>SUM(E10:E10)</f>
        <v>0</v>
      </c>
      <c r="F8" s="199">
        <f>SUM(F10:F10)</f>
        <v>0</v>
      </c>
      <c r="G8" s="199">
        <f>SUM(G10:G10)</f>
        <v>0</v>
      </c>
      <c r="H8" s="289">
        <f>IF(F8&gt;E8,1,0)</f>
        <v>0</v>
      </c>
      <c r="I8" s="289">
        <f>IF(G8&lt;0,1,0)</f>
        <v>0</v>
      </c>
    </row>
    <row r="9" spans="1:9" s="175" customFormat="1" x14ac:dyDescent="0.2">
      <c r="A9" s="188"/>
      <c r="B9" s="476" t="s">
        <v>38</v>
      </c>
      <c r="C9" s="197"/>
      <c r="D9" s="197"/>
      <c r="E9" s="200"/>
      <c r="F9" s="200"/>
      <c r="G9" s="197"/>
      <c r="H9" s="289">
        <f>IF(F9&gt;E9,1,0)</f>
        <v>0</v>
      </c>
      <c r="I9" s="289">
        <f>IF(G9&lt;0,1,0)</f>
        <v>0</v>
      </c>
    </row>
    <row r="10" spans="1:9" s="175" customFormat="1" x14ac:dyDescent="0.2">
      <c r="A10" s="1433"/>
      <c r="B10" s="481"/>
      <c r="C10" s="453"/>
      <c r="D10" s="273"/>
      <c r="E10" s="450"/>
      <c r="F10" s="450"/>
      <c r="G10" s="190">
        <f>D10-E10</f>
        <v>0</v>
      </c>
      <c r="H10" s="289">
        <f>IF(F10&gt;E10,1,0)</f>
        <v>0</v>
      </c>
      <c r="I10" s="289">
        <f>IF(G10&lt;0,1,0)</f>
        <v>0</v>
      </c>
    </row>
    <row r="11" spans="1:9" s="175" customFormat="1" x14ac:dyDescent="0.2">
      <c r="A11" s="185"/>
      <c r="B11" s="185"/>
      <c r="C11" s="185"/>
      <c r="D11" s="185"/>
      <c r="E11" s="185"/>
      <c r="F11" s="185"/>
      <c r="G11" s="185"/>
      <c r="I11" s="392"/>
    </row>
    <row r="12" spans="1:9" s="1004" customFormat="1" x14ac:dyDescent="0.2">
      <c r="A12" s="1930" t="s">
        <v>1</v>
      </c>
      <c r="B12" s="1930"/>
      <c r="C12" s="183"/>
      <c r="D12" s="183">
        <f>D8</f>
        <v>0</v>
      </c>
      <c r="E12" s="183">
        <f t="shared" ref="E12:G12" si="0">E8</f>
        <v>0</v>
      </c>
      <c r="F12" s="183">
        <f t="shared" si="0"/>
        <v>0</v>
      </c>
      <c r="G12" s="183">
        <f t="shared" si="0"/>
        <v>0</v>
      </c>
      <c r="H12" s="1003">
        <f>SUM(H8:H11)</f>
        <v>0</v>
      </c>
      <c r="I12" s="1003">
        <f>SUM(I8:I11)</f>
        <v>0</v>
      </c>
    </row>
    <row r="13" spans="1:9" x14ac:dyDescent="0.2">
      <c r="D13" s="1005">
        <f>D12-[1]Субвенция_факт!$D$39*1000</f>
        <v>0</v>
      </c>
      <c r="E13" s="1005"/>
      <c r="G13" s="1005"/>
    </row>
  </sheetData>
  <mergeCells count="4">
    <mergeCell ref="A2:G2"/>
    <mergeCell ref="A3:G3"/>
    <mergeCell ref="A4:G4"/>
    <mergeCell ref="A12:B12"/>
  </mergeCells>
  <pageMargins left="0.78740157480314965" right="0.39370078740157483" top="0.78740157480314965" bottom="0.78740157480314965" header="0.51181102362204722" footer="0.51181102362204722"/>
  <pageSetup paperSize="9" scale="61" orientation="portrait" r:id="rId1"/>
  <headerFooter alignWithMargins="0">
    <oddFooter>&amp;R&amp;Z&amp;F&amp;A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2:J67"/>
  <sheetViews>
    <sheetView zoomScale="70" zoomScaleNormal="70" workbookViewId="0">
      <pane xSplit="1" ySplit="7" topLeftCell="B56" activePane="bottomRight" state="frozen"/>
      <selection pane="topRight" activeCell="B1" sqref="B1"/>
      <selection pane="bottomLeft" activeCell="A6" sqref="A6"/>
      <selection pane="bottomRight" activeCell="F19" sqref="F19"/>
    </sheetView>
  </sheetViews>
  <sheetFormatPr defaultColWidth="9.140625" defaultRowHeight="15" x14ac:dyDescent="0.2"/>
  <cols>
    <col min="1" max="1" width="12" style="356" customWidth="1"/>
    <col min="2" max="2" width="55.5703125" style="356" customWidth="1"/>
    <col min="3" max="3" width="17.42578125" style="356" customWidth="1"/>
    <col min="4" max="4" width="20.42578125" style="356" customWidth="1"/>
    <col min="5" max="7" width="20.140625" style="356" customWidth="1"/>
    <col min="8" max="8" width="11.42578125" style="356" bestFit="1" customWidth="1"/>
    <col min="9" max="9" width="11.42578125" style="490" bestFit="1" customWidth="1"/>
    <col min="10" max="10" width="18.5703125" style="373" bestFit="1" customWidth="1"/>
    <col min="11" max="16384" width="9.140625" style="356"/>
  </cols>
  <sheetData>
    <row r="2" spans="1:10" ht="15.75" x14ac:dyDescent="0.2">
      <c r="A2" s="1908" t="s">
        <v>676</v>
      </c>
      <c r="B2" s="1908"/>
      <c r="C2" s="1908"/>
      <c r="D2" s="1908"/>
      <c r="E2" s="1908"/>
      <c r="F2" s="1908"/>
      <c r="G2" s="1908"/>
    </row>
    <row r="3" spans="1:10" ht="15.75" x14ac:dyDescent="0.2">
      <c r="A3" s="1909" t="str">
        <f>'Проверочная  таблица'!H3</f>
        <v>ПО  СОСТОЯНИЮ  НА  1  ОКТЯБРЯ  2021  ГОДА</v>
      </c>
      <c r="B3" s="1909"/>
      <c r="C3" s="1909"/>
      <c r="D3" s="1909"/>
      <c r="E3" s="1909"/>
      <c r="F3" s="1909"/>
      <c r="G3" s="1909"/>
    </row>
    <row r="4" spans="1:10" ht="15.75" x14ac:dyDescent="0.2">
      <c r="A4" s="1929" t="s">
        <v>138</v>
      </c>
      <c r="B4" s="1929"/>
      <c r="C4" s="1929"/>
      <c r="D4" s="1929"/>
      <c r="E4" s="1929"/>
      <c r="F4" s="1929"/>
      <c r="G4" s="1929"/>
    </row>
    <row r="6" spans="1:10" x14ac:dyDescent="0.2">
      <c r="F6" s="356" t="s">
        <v>20</v>
      </c>
    </row>
    <row r="7" spans="1:10" s="175" customFormat="1" ht="25.5" x14ac:dyDescent="0.2">
      <c r="A7" s="185" t="s">
        <v>112</v>
      </c>
      <c r="B7" s="185" t="s">
        <v>159</v>
      </c>
      <c r="C7" s="185" t="s">
        <v>18</v>
      </c>
      <c r="D7" s="185" t="s">
        <v>13</v>
      </c>
      <c r="E7" s="185" t="s">
        <v>161</v>
      </c>
      <c r="F7" s="185" t="s">
        <v>4</v>
      </c>
      <c r="G7" s="185" t="s">
        <v>160</v>
      </c>
      <c r="I7" s="392"/>
      <c r="J7" s="1541"/>
    </row>
    <row r="8" spans="1:10" s="175" customFormat="1" x14ac:dyDescent="0.2">
      <c r="A8" s="187" t="s">
        <v>75</v>
      </c>
      <c r="B8" s="251" t="s">
        <v>169</v>
      </c>
      <c r="C8" s="196"/>
      <c r="D8" s="199">
        <f>SUM(D10:D11)</f>
        <v>102045971.63</v>
      </c>
      <c r="E8" s="199">
        <f t="shared" ref="E8:G8" si="0">SUM(E10:E11)</f>
        <v>102045971.63</v>
      </c>
      <c r="F8" s="199">
        <f t="shared" si="0"/>
        <v>102045971.63</v>
      </c>
      <c r="G8" s="199">
        <f t="shared" si="0"/>
        <v>0</v>
      </c>
      <c r="H8" s="289">
        <f>IF(F8&gt;E8,1,0)</f>
        <v>0</v>
      </c>
      <c r="I8" s="289">
        <f>IF(G8&lt;0,1,0)</f>
        <v>0</v>
      </c>
      <c r="J8" s="1541"/>
    </row>
    <row r="9" spans="1:10" s="175" customFormat="1" x14ac:dyDescent="0.2">
      <c r="A9" s="188"/>
      <c r="B9" s="476" t="s">
        <v>38</v>
      </c>
      <c r="C9" s="197"/>
      <c r="D9" s="197"/>
      <c r="E9" s="200"/>
      <c r="F9" s="200"/>
      <c r="G9" s="197"/>
      <c r="H9" s="289">
        <f>IF(F9&gt;E9,1,0)</f>
        <v>0</v>
      </c>
      <c r="I9" s="289">
        <f>IF(G9&lt;0,1,0)</f>
        <v>0</v>
      </c>
      <c r="J9" s="1541"/>
    </row>
    <row r="10" spans="1:10" s="175" customFormat="1" ht="114.75" x14ac:dyDescent="0.2">
      <c r="A10" s="1537"/>
      <c r="B10" s="481" t="s">
        <v>840</v>
      </c>
      <c r="C10" s="144" t="s">
        <v>839</v>
      </c>
      <c r="D10" s="273">
        <v>35000000</v>
      </c>
      <c r="E10" s="450">
        <f>'Проверочная  таблица'!UU37</f>
        <v>35000000</v>
      </c>
      <c r="F10" s="450">
        <f>'Проверочная  таблица'!VB37</f>
        <v>35000000</v>
      </c>
      <c r="G10" s="190">
        <f>D10-E10</f>
        <v>0</v>
      </c>
      <c r="H10" s="289">
        <f>IF(F10&gt;E10,1,0)</f>
        <v>0</v>
      </c>
      <c r="I10" s="289">
        <f>IF(G10&lt;0,1,0)</f>
        <v>0</v>
      </c>
      <c r="J10" s="1541"/>
    </row>
    <row r="11" spans="1:10" s="175" customFormat="1" ht="102" x14ac:dyDescent="0.2">
      <c r="A11" s="999"/>
      <c r="B11" s="481" t="s">
        <v>830</v>
      </c>
      <c r="C11" s="144" t="s">
        <v>831</v>
      </c>
      <c r="D11" s="273">
        <f>73365640-6319668.37</f>
        <v>67045971.630000003</v>
      </c>
      <c r="E11" s="450">
        <f>'Проверочная  таблица'!VE37</f>
        <v>67045971.630000003</v>
      </c>
      <c r="F11" s="450">
        <f>'Проверочная  таблица'!VH37</f>
        <v>67045971.630000003</v>
      </c>
      <c r="G11" s="190">
        <f>D11-E11</f>
        <v>0</v>
      </c>
      <c r="H11" s="289">
        <f>IF(F11&gt;E11,1,0)</f>
        <v>0</v>
      </c>
      <c r="I11" s="289">
        <f>IF(G11&lt;0,1,0)</f>
        <v>0</v>
      </c>
      <c r="J11" s="1541"/>
    </row>
    <row r="12" spans="1:10" s="175" customFormat="1" x14ac:dyDescent="0.2">
      <c r="A12" s="185"/>
      <c r="B12" s="185"/>
      <c r="C12" s="185"/>
      <c r="D12" s="185"/>
      <c r="E12" s="185"/>
      <c r="F12" s="185"/>
      <c r="G12" s="185"/>
      <c r="I12" s="392"/>
      <c r="J12" s="1541"/>
    </row>
    <row r="13" spans="1:10" s="175" customFormat="1" x14ac:dyDescent="0.2">
      <c r="A13" s="187" t="s">
        <v>123</v>
      </c>
      <c r="B13" s="251" t="s">
        <v>150</v>
      </c>
      <c r="C13" s="196"/>
      <c r="D13" s="199">
        <f>SUM(D15:D20)</f>
        <v>719285300</v>
      </c>
      <c r="E13" s="199">
        <f t="shared" ref="E13:G13" si="1">SUM(E15:E20)</f>
        <v>506290000</v>
      </c>
      <c r="F13" s="199">
        <f t="shared" si="1"/>
        <v>506290000</v>
      </c>
      <c r="G13" s="199">
        <f t="shared" si="1"/>
        <v>212995300</v>
      </c>
      <c r="H13" s="289">
        <f>IF(F13&gt;E13,1,0)</f>
        <v>0</v>
      </c>
      <c r="I13" s="289">
        <f>IF(G13&lt;0,1,0)</f>
        <v>0</v>
      </c>
      <c r="J13" s="1541"/>
    </row>
    <row r="14" spans="1:10" s="175" customFormat="1" x14ac:dyDescent="0.2">
      <c r="A14" s="188"/>
      <c r="B14" s="476" t="s">
        <v>38</v>
      </c>
      <c r="C14" s="197"/>
      <c r="D14" s="197"/>
      <c r="E14" s="200"/>
      <c r="F14" s="200"/>
      <c r="G14" s="197"/>
      <c r="H14" s="289">
        <f>IF(F14&gt;E14,1,0)</f>
        <v>0</v>
      </c>
      <c r="I14" s="289">
        <f>IF(G14&lt;0,1,0)</f>
        <v>0</v>
      </c>
      <c r="J14" s="1541"/>
    </row>
    <row r="15" spans="1:10" s="175" customFormat="1" ht="76.5" x14ac:dyDescent="0.2">
      <c r="A15" s="1584"/>
      <c r="B15" s="481" t="s">
        <v>866</v>
      </c>
      <c r="C15" s="144" t="s">
        <v>911</v>
      </c>
      <c r="D15" s="273"/>
      <c r="E15" s="450"/>
      <c r="F15" s="450"/>
      <c r="G15" s="190">
        <f>D15-E15</f>
        <v>0</v>
      </c>
      <c r="H15" s="289">
        <f>IF(F15&gt;E15,1,0)</f>
        <v>0</v>
      </c>
      <c r="I15" s="289">
        <f>IF(G15&lt;0,1,0)</f>
        <v>0</v>
      </c>
      <c r="J15" s="1542">
        <f>D15+D16</f>
        <v>100000000</v>
      </c>
    </row>
    <row r="16" spans="1:10" s="367" customFormat="1" ht="14.25" x14ac:dyDescent="0.2">
      <c r="A16" s="1006"/>
      <c r="B16" s="693" t="s">
        <v>58</v>
      </c>
      <c r="C16" s="1007" t="s">
        <v>911</v>
      </c>
      <c r="D16" s="694">
        <v>100000000</v>
      </c>
      <c r="E16" s="691">
        <f>'Проверочная  таблица'!ST37</f>
        <v>0</v>
      </c>
      <c r="F16" s="691">
        <f>'Проверочная  таблица'!SW37</f>
        <v>0</v>
      </c>
      <c r="G16" s="695">
        <f t="shared" ref="G16" si="2">D16-E16</f>
        <v>100000000</v>
      </c>
      <c r="H16" s="1008">
        <f t="shared" ref="H16" si="3">IF(F16&gt;E16,1,0)</f>
        <v>0</v>
      </c>
      <c r="I16" s="1008">
        <f t="shared" ref="I16" si="4">IF(G16&lt;0,1,0)</f>
        <v>0</v>
      </c>
      <c r="J16" s="372"/>
    </row>
    <row r="17" spans="1:10" s="175" customFormat="1" ht="63.75" x14ac:dyDescent="0.2">
      <c r="A17" s="1623"/>
      <c r="B17" s="481" t="s">
        <v>931</v>
      </c>
      <c r="C17" s="144" t="s">
        <v>930</v>
      </c>
      <c r="D17" s="273"/>
      <c r="E17" s="450"/>
      <c r="F17" s="450"/>
      <c r="G17" s="190">
        <f>D17-E17</f>
        <v>0</v>
      </c>
      <c r="H17" s="289">
        <f>IF(F17&gt;E17,1,0)</f>
        <v>0</v>
      </c>
      <c r="I17" s="289">
        <f>IF(G17&lt;0,1,0)</f>
        <v>0</v>
      </c>
      <c r="J17" s="1542">
        <f>D17+D18</f>
        <v>112995300</v>
      </c>
    </row>
    <row r="18" spans="1:10" s="367" customFormat="1" ht="14.25" x14ac:dyDescent="0.2">
      <c r="A18" s="1006"/>
      <c r="B18" s="693" t="s">
        <v>58</v>
      </c>
      <c r="C18" s="1007" t="s">
        <v>930</v>
      </c>
      <c r="D18" s="694">
        <v>112995300</v>
      </c>
      <c r="E18" s="691">
        <f>'Проверочная  таблица'!SU37</f>
        <v>0</v>
      </c>
      <c r="F18" s="691">
        <f>'Проверочная  таблица'!SX37</f>
        <v>0</v>
      </c>
      <c r="G18" s="695">
        <f t="shared" ref="G18" si="5">D18-E18</f>
        <v>112995300</v>
      </c>
      <c r="H18" s="1008">
        <f t="shared" ref="H18" si="6">IF(F18&gt;E18,1,0)</f>
        <v>0</v>
      </c>
      <c r="I18" s="1008">
        <f t="shared" ref="I18" si="7">IF(G18&lt;0,1,0)</f>
        <v>0</v>
      </c>
      <c r="J18" s="372"/>
    </row>
    <row r="19" spans="1:10" s="175" customFormat="1" ht="165.75" x14ac:dyDescent="0.2">
      <c r="A19" s="999"/>
      <c r="B19" s="481" t="s">
        <v>506</v>
      </c>
      <c r="C19" s="144" t="s">
        <v>824</v>
      </c>
      <c r="D19" s="273"/>
      <c r="E19" s="450"/>
      <c r="F19" s="450"/>
      <c r="G19" s="190">
        <f>D19-E19</f>
        <v>0</v>
      </c>
      <c r="H19" s="289">
        <f>IF(F19&gt;E19,1,0)</f>
        <v>0</v>
      </c>
      <c r="I19" s="289">
        <f>IF(G19&lt;0,1,0)</f>
        <v>0</v>
      </c>
      <c r="J19" s="1542">
        <f>D19+D20</f>
        <v>506290000</v>
      </c>
    </row>
    <row r="20" spans="1:10" s="367" customFormat="1" ht="14.25" x14ac:dyDescent="0.2">
      <c r="A20" s="1006"/>
      <c r="B20" s="693" t="s">
        <v>58</v>
      </c>
      <c r="C20" s="1007" t="s">
        <v>824</v>
      </c>
      <c r="D20" s="694">
        <f>345290000+161000000</f>
        <v>506290000</v>
      </c>
      <c r="E20" s="691">
        <f>'Проверочная  таблица'!SZ38</f>
        <v>506290000</v>
      </c>
      <c r="F20" s="691">
        <f>'Проверочная  таблица'!TB38</f>
        <v>506290000</v>
      </c>
      <c r="G20" s="695">
        <f t="shared" ref="G20" si="8">D20-E20</f>
        <v>0</v>
      </c>
      <c r="H20" s="1008">
        <f t="shared" ref="H20" si="9">IF(F20&gt;E20,1,0)</f>
        <v>0</v>
      </c>
      <c r="I20" s="1008">
        <f t="shared" ref="I20" si="10">IF(G20&lt;0,1,0)</f>
        <v>0</v>
      </c>
      <c r="J20" s="372"/>
    </row>
    <row r="21" spans="1:10" x14ac:dyDescent="0.2">
      <c r="A21" s="999"/>
      <c r="B21" s="481"/>
      <c r="C21" s="144"/>
      <c r="D21" s="273"/>
      <c r="E21" s="189"/>
      <c r="F21" s="189"/>
      <c r="G21" s="190"/>
      <c r="H21" s="289"/>
      <c r="I21" s="289"/>
    </row>
    <row r="22" spans="1:10" x14ac:dyDescent="0.2">
      <c r="A22" s="187" t="s">
        <v>129</v>
      </c>
      <c r="B22" s="251" t="s">
        <v>871</v>
      </c>
      <c r="C22" s="196"/>
      <c r="D22" s="199">
        <f>D24</f>
        <v>249536000</v>
      </c>
      <c r="E22" s="199">
        <f t="shared" ref="E22:G22" si="11">E24</f>
        <v>249536000</v>
      </c>
      <c r="F22" s="199">
        <f t="shared" si="11"/>
        <v>249536000</v>
      </c>
      <c r="G22" s="199">
        <f t="shared" si="11"/>
        <v>0</v>
      </c>
      <c r="H22" s="289">
        <f>IF(F22&gt;E22,1,0)</f>
        <v>0</v>
      </c>
      <c r="I22" s="289">
        <f>IF(G22&lt;0,1,0)</f>
        <v>0</v>
      </c>
    </row>
    <row r="23" spans="1:10" x14ac:dyDescent="0.2">
      <c r="A23" s="188"/>
      <c r="B23" s="476" t="s">
        <v>38</v>
      </c>
      <c r="C23" s="197"/>
      <c r="D23" s="197"/>
      <c r="E23" s="200"/>
      <c r="F23" s="200"/>
      <c r="G23" s="197"/>
      <c r="H23" s="289">
        <f>IF(F23&gt;E23,1,0)</f>
        <v>0</v>
      </c>
      <c r="I23" s="289">
        <f>IF(G23&lt;0,1,0)</f>
        <v>0</v>
      </c>
    </row>
    <row r="24" spans="1:10" ht="76.5" x14ac:dyDescent="0.2">
      <c r="A24" s="188"/>
      <c r="B24" s="913" t="s">
        <v>873</v>
      </c>
      <c r="C24" s="144" t="s">
        <v>872</v>
      </c>
      <c r="D24" s="914">
        <f>217000000+32536000</f>
        <v>249536000</v>
      </c>
      <c r="E24" s="993">
        <f>D24</f>
        <v>249536000</v>
      </c>
      <c r="F24" s="993">
        <f>E24</f>
        <v>249536000</v>
      </c>
      <c r="G24" s="190">
        <f>D24-E24</f>
        <v>0</v>
      </c>
      <c r="H24" s="289">
        <f>IF(F24&gt;E24,1,0)</f>
        <v>0</v>
      </c>
      <c r="I24" s="289">
        <f>IF(G24&lt;0,1,0)</f>
        <v>0</v>
      </c>
      <c r="J24" s="1542">
        <f>D24+D49</f>
        <v>265036000</v>
      </c>
    </row>
    <row r="25" spans="1:10" x14ac:dyDescent="0.2">
      <c r="A25" s="188"/>
      <c r="B25" s="913"/>
      <c r="C25" s="144"/>
      <c r="D25" s="914"/>
      <c r="E25" s="993"/>
      <c r="F25" s="993"/>
      <c r="G25" s="190"/>
      <c r="H25" s="289"/>
      <c r="I25" s="289"/>
    </row>
    <row r="26" spans="1:10" x14ac:dyDescent="0.2">
      <c r="A26" s="187" t="s">
        <v>130</v>
      </c>
      <c r="B26" s="251" t="s">
        <v>131</v>
      </c>
      <c r="C26" s="196"/>
      <c r="D26" s="199">
        <f>SUM(D28:D30)</f>
        <v>326666129.00999999</v>
      </c>
      <c r="E26" s="199">
        <f t="shared" ref="E26:G26" si="12">SUM(E28:E30)</f>
        <v>326647640.89999998</v>
      </c>
      <c r="F26" s="199">
        <f t="shared" si="12"/>
        <v>203271062.70999998</v>
      </c>
      <c r="G26" s="199">
        <f t="shared" si="12"/>
        <v>18488.109999999404</v>
      </c>
      <c r="H26" s="289">
        <f>IF(F26&gt;E26,1,0)</f>
        <v>0</v>
      </c>
      <c r="I26" s="289">
        <f>IF(G26&lt;0,1,0)</f>
        <v>0</v>
      </c>
    </row>
    <row r="27" spans="1:10" x14ac:dyDescent="0.2">
      <c r="A27" s="188"/>
      <c r="B27" s="476" t="s">
        <v>38</v>
      </c>
      <c r="C27" s="197"/>
      <c r="D27" s="197"/>
      <c r="E27" s="200"/>
      <c r="F27" s="200"/>
      <c r="G27" s="197"/>
      <c r="H27" s="289">
        <f>IF(F27&gt;E27,1,0)</f>
        <v>0</v>
      </c>
      <c r="I27" s="289">
        <f>IF(G27&lt;0,1,0)</f>
        <v>0</v>
      </c>
    </row>
    <row r="28" spans="1:10" ht="89.25" x14ac:dyDescent="0.2">
      <c r="A28" s="188"/>
      <c r="B28" s="913" t="s">
        <v>685</v>
      </c>
      <c r="C28" s="144" t="s">
        <v>525</v>
      </c>
      <c r="D28" s="914">
        <v>50548697.009999998</v>
      </c>
      <c r="E28" s="993">
        <f>'Проверочная  таблица'!US38</f>
        <v>50530208.899999999</v>
      </c>
      <c r="F28" s="993">
        <f>'Проверочная  таблица'!UZ38</f>
        <v>34118774.540000007</v>
      </c>
      <c r="G28" s="190">
        <f>D28-E28</f>
        <v>18488.109999999404</v>
      </c>
      <c r="H28" s="289">
        <f>IF(F28&gt;E28,1,0)</f>
        <v>0</v>
      </c>
      <c r="I28" s="289">
        <f>IF(G28&lt;0,1,0)</f>
        <v>0</v>
      </c>
    </row>
    <row r="29" spans="1:10" ht="127.5" x14ac:dyDescent="0.2">
      <c r="A29" s="188"/>
      <c r="B29" s="913" t="s">
        <v>737</v>
      </c>
      <c r="C29" s="144" t="s">
        <v>738</v>
      </c>
      <c r="D29" s="914">
        <f>69139768+21401568+15576096</f>
        <v>106117432</v>
      </c>
      <c r="E29" s="993">
        <f>'Проверочная  таблица'!TL38</f>
        <v>106117432</v>
      </c>
      <c r="F29" s="993">
        <f>'Проверочная  таблица'!TO38</f>
        <v>21401568</v>
      </c>
      <c r="G29" s="190">
        <f t="shared" ref="G29:G30" si="13">D29-E29</f>
        <v>0</v>
      </c>
      <c r="H29" s="289">
        <f>IF(F29&gt;E29,1,0)</f>
        <v>0</v>
      </c>
      <c r="I29" s="289">
        <f>IF(G29&lt;0,1,0)</f>
        <v>0</v>
      </c>
      <c r="J29" s="1543">
        <f>D29+D30</f>
        <v>276117432</v>
      </c>
    </row>
    <row r="30" spans="1:10" s="175" customFormat="1" x14ac:dyDescent="0.2">
      <c r="A30" s="1284"/>
      <c r="B30" s="1285" t="s">
        <v>58</v>
      </c>
      <c r="C30" s="1286" t="s">
        <v>738</v>
      </c>
      <c r="D30" s="1287">
        <v>170000000</v>
      </c>
      <c r="E30" s="1288">
        <f>'Проверочная  таблица'!TM38</f>
        <v>170000000</v>
      </c>
      <c r="F30" s="1288">
        <f>'Проверочная  таблица'!TP38</f>
        <v>147750720.16999999</v>
      </c>
      <c r="G30" s="1289">
        <f t="shared" si="13"/>
        <v>0</v>
      </c>
      <c r="H30" s="289">
        <f t="shared" ref="H30" si="14">IF(F30&gt;E30,1,0)</f>
        <v>0</v>
      </c>
      <c r="I30" s="289">
        <f t="shared" ref="I30" si="15">IF(G30&lt;0,1,0)</f>
        <v>0</v>
      </c>
      <c r="J30" s="1541"/>
    </row>
    <row r="31" spans="1:10" x14ac:dyDescent="0.2">
      <c r="A31" s="188"/>
      <c r="B31" s="913"/>
      <c r="C31" s="144"/>
      <c r="D31" s="914"/>
      <c r="E31" s="912"/>
      <c r="F31" s="912"/>
      <c r="G31" s="190"/>
      <c r="H31" s="289"/>
      <c r="I31" s="289"/>
      <c r="J31" s="1544"/>
    </row>
    <row r="32" spans="1:10" x14ac:dyDescent="0.2">
      <c r="A32" s="187" t="s">
        <v>76</v>
      </c>
      <c r="B32" s="251" t="s">
        <v>113</v>
      </c>
      <c r="C32" s="196"/>
      <c r="D32" s="199">
        <f>SUM(D34:D36)</f>
        <v>708955000</v>
      </c>
      <c r="E32" s="199">
        <f t="shared" ref="E32:G32" si="16">SUM(E34:E36)</f>
        <v>708955000</v>
      </c>
      <c r="F32" s="199">
        <f t="shared" si="16"/>
        <v>435057269.25000006</v>
      </c>
      <c r="G32" s="199">
        <f t="shared" si="16"/>
        <v>0</v>
      </c>
      <c r="H32" s="289">
        <f>IF(F32&gt;E32,1,0)</f>
        <v>0</v>
      </c>
      <c r="I32" s="289">
        <f>IF(G32&lt;0,1,0)</f>
        <v>0</v>
      </c>
    </row>
    <row r="33" spans="1:10" x14ac:dyDescent="0.2">
      <c r="A33" s="188"/>
      <c r="B33" s="476" t="s">
        <v>38</v>
      </c>
      <c r="C33" s="197"/>
      <c r="D33" s="197"/>
      <c r="E33" s="200"/>
      <c r="F33" s="200"/>
      <c r="G33" s="197"/>
      <c r="H33" s="289">
        <f>IF(F33&gt;E33,1,0)</f>
        <v>0</v>
      </c>
      <c r="I33" s="289">
        <f>IF(G33&lt;0,1,0)</f>
        <v>0</v>
      </c>
    </row>
    <row r="34" spans="1:10" ht="102" x14ac:dyDescent="0.2">
      <c r="A34" s="188"/>
      <c r="B34" s="913" t="s">
        <v>787</v>
      </c>
      <c r="C34" s="144" t="s">
        <v>786</v>
      </c>
      <c r="D34" s="1416"/>
      <c r="E34" s="993">
        <f>'Проверочная  таблица'!SN37</f>
        <v>0</v>
      </c>
      <c r="F34" s="993">
        <f>'Проверочная  таблица'!SQ37</f>
        <v>0</v>
      </c>
      <c r="G34" s="190">
        <f>D34-E34</f>
        <v>0</v>
      </c>
      <c r="H34" s="289">
        <f>IF(F34&gt;E34,1,0)</f>
        <v>0</v>
      </c>
      <c r="I34" s="289">
        <f>IF(G34&lt;0,1,0)</f>
        <v>0</v>
      </c>
      <c r="J34" s="1542">
        <f>D34+D35</f>
        <v>458955000</v>
      </c>
    </row>
    <row r="35" spans="1:10" s="367" customFormat="1" ht="14.25" x14ac:dyDescent="0.2">
      <c r="A35" s="1006"/>
      <c r="B35" s="693" t="s">
        <v>58</v>
      </c>
      <c r="C35" s="1007" t="s">
        <v>786</v>
      </c>
      <c r="D35" s="694">
        <v>458955000</v>
      </c>
      <c r="E35" s="691">
        <f>'Проверочная  таблица'!SO37</f>
        <v>458955000</v>
      </c>
      <c r="F35" s="691">
        <f>'Проверочная  таблица'!SR37</f>
        <v>332262886.93000007</v>
      </c>
      <c r="G35" s="695">
        <f t="shared" ref="G35" si="17">D35-E35</f>
        <v>0</v>
      </c>
      <c r="H35" s="1008">
        <f t="shared" ref="H35" si="18">IF(F35&gt;E35,1,0)</f>
        <v>0</v>
      </c>
      <c r="I35" s="1008">
        <f t="shared" ref="I35" si="19">IF(G35&lt;0,1,0)</f>
        <v>0</v>
      </c>
      <c r="J35" s="372"/>
    </row>
    <row r="36" spans="1:10" ht="89.25" x14ac:dyDescent="0.2">
      <c r="A36" s="188"/>
      <c r="B36" s="913" t="s">
        <v>833</v>
      </c>
      <c r="C36" s="144" t="s">
        <v>832</v>
      </c>
      <c r="D36" s="1416">
        <v>250000000</v>
      </c>
      <c r="E36" s="993">
        <f>'Проверочная  таблица'!UR37</f>
        <v>250000000</v>
      </c>
      <c r="F36" s="993">
        <f>'Проверочная  таблица'!UY37</f>
        <v>102794382.31999999</v>
      </c>
      <c r="G36" s="190">
        <f>D36-E36</f>
        <v>0</v>
      </c>
      <c r="H36" s="289">
        <f>IF(F36&gt;E36,1,0)</f>
        <v>0</v>
      </c>
      <c r="I36" s="289">
        <f>IF(G36&lt;0,1,0)</f>
        <v>0</v>
      </c>
      <c r="J36" s="1542"/>
    </row>
    <row r="37" spans="1:10" x14ac:dyDescent="0.2">
      <c r="A37" s="1503"/>
      <c r="B37" s="481"/>
      <c r="C37" s="144"/>
      <c r="D37" s="273"/>
      <c r="E37" s="189"/>
      <c r="F37" s="189"/>
      <c r="G37" s="190"/>
      <c r="H37" s="289"/>
      <c r="I37" s="289"/>
    </row>
    <row r="38" spans="1:10" x14ac:dyDescent="0.2">
      <c r="A38" s="187" t="s">
        <v>33</v>
      </c>
      <c r="B38" s="251" t="s">
        <v>34</v>
      </c>
      <c r="C38" s="196"/>
      <c r="D38" s="199">
        <f>SUM(D40:D45)</f>
        <v>36000000</v>
      </c>
      <c r="E38" s="199">
        <f t="shared" ref="E38:G38" si="20">SUM(E40:E45)</f>
        <v>6000000</v>
      </c>
      <c r="F38" s="199">
        <f t="shared" si="20"/>
        <v>6000000</v>
      </c>
      <c r="G38" s="199">
        <f t="shared" si="20"/>
        <v>30000000</v>
      </c>
      <c r="H38" s="289">
        <f>IF(F38&gt;E38,1,0)</f>
        <v>0</v>
      </c>
      <c r="I38" s="289">
        <f>IF(G38&lt;0,1,0)</f>
        <v>0</v>
      </c>
    </row>
    <row r="39" spans="1:10" x14ac:dyDescent="0.2">
      <c r="A39" s="188"/>
      <c r="B39" s="476" t="s">
        <v>38</v>
      </c>
      <c r="C39" s="197"/>
      <c r="D39" s="197"/>
      <c r="E39" s="200"/>
      <c r="F39" s="200"/>
      <c r="G39" s="197"/>
      <c r="H39" s="289">
        <f>IF(F39&gt;E39,1,0)</f>
        <v>0</v>
      </c>
      <c r="I39" s="289">
        <f>IF(G39&lt;0,1,0)</f>
        <v>0</v>
      </c>
    </row>
    <row r="40" spans="1:10" ht="76.5" x14ac:dyDescent="0.2">
      <c r="A40" s="188"/>
      <c r="B40" s="913" t="s">
        <v>557</v>
      </c>
      <c r="C40" s="144" t="s">
        <v>556</v>
      </c>
      <c r="D40" s="914"/>
      <c r="E40" s="912">
        <f>'Проверочная  таблица'!UH37</f>
        <v>0</v>
      </c>
      <c r="F40" s="912">
        <f>'Проверочная  таблица'!UL37</f>
        <v>0</v>
      </c>
      <c r="G40" s="190">
        <f>D40-E40</f>
        <v>0</v>
      </c>
      <c r="H40" s="289">
        <f>IF(F40&gt;E40,1,0)</f>
        <v>0</v>
      </c>
      <c r="I40" s="289">
        <f>IF(G40&lt;0,1,0)</f>
        <v>0</v>
      </c>
      <c r="J40" s="1542">
        <f>D40+D41</f>
        <v>5000000</v>
      </c>
    </row>
    <row r="41" spans="1:10" ht="14.25" x14ac:dyDescent="0.2">
      <c r="A41" s="1006"/>
      <c r="B41" s="693" t="s">
        <v>58</v>
      </c>
      <c r="C41" s="1007" t="s">
        <v>556</v>
      </c>
      <c r="D41" s="694">
        <v>5000000</v>
      </c>
      <c r="E41" s="691">
        <f>'Проверочная  таблица'!UI37</f>
        <v>5000000</v>
      </c>
      <c r="F41" s="691">
        <f>'Проверочная  таблица'!UM37</f>
        <v>5000000</v>
      </c>
      <c r="G41" s="695">
        <f t="shared" ref="G41" si="21">D41-E41</f>
        <v>0</v>
      </c>
      <c r="H41" s="1008">
        <f t="shared" ref="H41" si="22">IF(F41&gt;E41,1,0)</f>
        <v>0</v>
      </c>
      <c r="I41" s="1008">
        <f t="shared" ref="I41" si="23">IF(G41&lt;0,1,0)</f>
        <v>0</v>
      </c>
      <c r="J41" s="372"/>
    </row>
    <row r="42" spans="1:10" ht="89.25" x14ac:dyDescent="0.2">
      <c r="A42" s="188"/>
      <c r="B42" s="913" t="s">
        <v>922</v>
      </c>
      <c r="C42" s="144" t="s">
        <v>921</v>
      </c>
      <c r="D42" s="914"/>
      <c r="E42" s="912"/>
      <c r="F42" s="912"/>
      <c r="G42" s="190">
        <f>D42-E42</f>
        <v>0</v>
      </c>
      <c r="H42" s="289">
        <f>IF(F42&gt;E42,1,0)</f>
        <v>0</v>
      </c>
      <c r="I42" s="289">
        <f>IF(G42&lt;0,1,0)</f>
        <v>0</v>
      </c>
      <c r="J42" s="1542">
        <f>D42+D43</f>
        <v>30000000</v>
      </c>
    </row>
    <row r="43" spans="1:10" ht="14.25" x14ac:dyDescent="0.2">
      <c r="A43" s="1006"/>
      <c r="B43" s="693" t="s">
        <v>58</v>
      </c>
      <c r="C43" s="1007" t="s">
        <v>921</v>
      </c>
      <c r="D43" s="694">
        <v>30000000</v>
      </c>
      <c r="E43" s="691">
        <f>'Проверочная  таблица'!UJ37</f>
        <v>0</v>
      </c>
      <c r="F43" s="691">
        <f>'Проверочная  таблица'!UN37</f>
        <v>0</v>
      </c>
      <c r="G43" s="695">
        <f t="shared" ref="G43" si="24">D43-E43</f>
        <v>30000000</v>
      </c>
      <c r="H43" s="1008">
        <f t="shared" ref="H43" si="25">IF(F43&gt;E43,1,0)</f>
        <v>0</v>
      </c>
      <c r="I43" s="1008">
        <f t="shared" ref="I43" si="26">IF(G43&lt;0,1,0)</f>
        <v>0</v>
      </c>
      <c r="J43" s="372"/>
    </row>
    <row r="44" spans="1:10" ht="76.5" x14ac:dyDescent="0.2">
      <c r="A44" s="188"/>
      <c r="B44" s="913" t="s">
        <v>558</v>
      </c>
      <c r="C44" s="144" t="s">
        <v>559</v>
      </c>
      <c r="D44" s="914"/>
      <c r="E44" s="912">
        <f>'Проверочная  таблица'!UB37</f>
        <v>0</v>
      </c>
      <c r="F44" s="912">
        <f>'Проверочная  таблица'!UE37</f>
        <v>0</v>
      </c>
      <c r="G44" s="190">
        <f>D44-E44</f>
        <v>0</v>
      </c>
      <c r="H44" s="289">
        <f>IF(F44&gt;E44,1,0)</f>
        <v>0</v>
      </c>
      <c r="I44" s="289">
        <f>IF(G44&lt;0,1,0)</f>
        <v>0</v>
      </c>
      <c r="J44" s="1542">
        <f>D44+D45</f>
        <v>1000000</v>
      </c>
    </row>
    <row r="45" spans="1:10" ht="14.25" x14ac:dyDescent="0.2">
      <c r="A45" s="1006"/>
      <c r="B45" s="693" t="s">
        <v>58</v>
      </c>
      <c r="C45" s="1007" t="s">
        <v>559</v>
      </c>
      <c r="D45" s="694">
        <v>1000000</v>
      </c>
      <c r="E45" s="691">
        <f>'Проверочная  таблица'!UC37</f>
        <v>1000000</v>
      </c>
      <c r="F45" s="691">
        <f>'Проверочная  таблица'!UF37</f>
        <v>1000000</v>
      </c>
      <c r="G45" s="695">
        <f t="shared" ref="G45" si="27">D45-E45</f>
        <v>0</v>
      </c>
      <c r="H45" s="1008">
        <f t="shared" ref="H45" si="28">IF(F45&gt;E45,1,0)</f>
        <v>0</v>
      </c>
      <c r="I45" s="1008">
        <f t="shared" ref="I45" si="29">IF(G45&lt;0,1,0)</f>
        <v>0</v>
      </c>
      <c r="J45" s="372"/>
    </row>
    <row r="46" spans="1:10" x14ac:dyDescent="0.2">
      <c r="A46" s="1131"/>
      <c r="B46" s="481"/>
      <c r="C46" s="144"/>
      <c r="D46" s="273"/>
      <c r="E46" s="189"/>
      <c r="F46" s="189"/>
      <c r="G46" s="190"/>
      <c r="H46" s="289"/>
      <c r="I46" s="289"/>
    </row>
    <row r="47" spans="1:10" x14ac:dyDescent="0.2">
      <c r="A47" s="187">
        <v>1003</v>
      </c>
      <c r="B47" s="251" t="s">
        <v>899</v>
      </c>
      <c r="C47" s="196"/>
      <c r="D47" s="199">
        <f>D49</f>
        <v>15500000</v>
      </c>
      <c r="E47" s="199">
        <f t="shared" ref="E47:G47" si="30">E49</f>
        <v>15500000</v>
      </c>
      <c r="F47" s="199">
        <f t="shared" si="30"/>
        <v>15500000</v>
      </c>
      <c r="G47" s="199">
        <f t="shared" si="30"/>
        <v>0</v>
      </c>
      <c r="H47" s="289">
        <f>IF(F47&gt;E47,1,0)</f>
        <v>0</v>
      </c>
      <c r="I47" s="289">
        <f>IF(G47&lt;0,1,0)</f>
        <v>0</v>
      </c>
    </row>
    <row r="48" spans="1:10" x14ac:dyDescent="0.2">
      <c r="A48" s="188"/>
      <c r="B48" s="476" t="s">
        <v>38</v>
      </c>
      <c r="C48" s="197"/>
      <c r="D48" s="197"/>
      <c r="E48" s="200"/>
      <c r="F48" s="200"/>
      <c r="G48" s="197"/>
      <c r="H48" s="289">
        <f>IF(F48&gt;E48,1,0)</f>
        <v>0</v>
      </c>
      <c r="I48" s="289">
        <f>IF(G48&lt;0,1,0)</f>
        <v>0</v>
      </c>
    </row>
    <row r="49" spans="1:10" ht="76.5" x14ac:dyDescent="0.2">
      <c r="A49" s="1601"/>
      <c r="B49" s="913" t="s">
        <v>873</v>
      </c>
      <c r="C49" s="144" t="s">
        <v>872</v>
      </c>
      <c r="D49" s="273">
        <v>15500000</v>
      </c>
      <c r="E49" s="450">
        <f>D49</f>
        <v>15500000</v>
      </c>
      <c r="F49" s="450">
        <f>E49</f>
        <v>15500000</v>
      </c>
      <c r="G49" s="190">
        <f>D49-E49</f>
        <v>0</v>
      </c>
      <c r="H49" s="289">
        <f>IF(F49&gt;E49,1,0)</f>
        <v>0</v>
      </c>
      <c r="I49" s="289">
        <f>IF(G49&lt;0,1,0)</f>
        <v>0</v>
      </c>
    </row>
    <row r="50" spans="1:10" x14ac:dyDescent="0.2">
      <c r="A50" s="1601"/>
      <c r="B50" s="481"/>
      <c r="C50" s="144"/>
      <c r="D50" s="273"/>
      <c r="E50" s="450"/>
      <c r="F50" s="450"/>
      <c r="G50" s="190"/>
      <c r="H50" s="289"/>
      <c r="I50" s="289"/>
    </row>
    <row r="51" spans="1:10" x14ac:dyDescent="0.2">
      <c r="A51" s="187">
        <v>1102</v>
      </c>
      <c r="B51" s="251" t="s">
        <v>531</v>
      </c>
      <c r="C51" s="196"/>
      <c r="D51" s="199">
        <f>SUM(D53:D54)</f>
        <v>70000000</v>
      </c>
      <c r="E51" s="199">
        <f t="shared" ref="E51:G51" si="31">SUM(E53:E54)</f>
        <v>0</v>
      </c>
      <c r="F51" s="199">
        <f t="shared" si="31"/>
        <v>0</v>
      </c>
      <c r="G51" s="199">
        <f t="shared" si="31"/>
        <v>70000000</v>
      </c>
      <c r="H51" s="289">
        <f>IF(F51&gt;E51,1,0)</f>
        <v>0</v>
      </c>
      <c r="I51" s="289">
        <f>IF(G51&lt;0,1,0)</f>
        <v>0</v>
      </c>
    </row>
    <row r="52" spans="1:10" x14ac:dyDescent="0.2">
      <c r="A52" s="188"/>
      <c r="B52" s="476" t="s">
        <v>38</v>
      </c>
      <c r="C52" s="197"/>
      <c r="D52" s="197"/>
      <c r="E52" s="200"/>
      <c r="F52" s="200"/>
      <c r="G52" s="197"/>
      <c r="H52" s="289">
        <f>IF(F52&gt;E52,1,0)</f>
        <v>0</v>
      </c>
      <c r="I52" s="289">
        <f>IF(G52&lt;0,1,0)</f>
        <v>0</v>
      </c>
    </row>
    <row r="53" spans="1:10" ht="114.75" x14ac:dyDescent="0.2">
      <c r="A53" s="1127"/>
      <c r="B53" s="481" t="s">
        <v>842</v>
      </c>
      <c r="C53" s="144" t="s">
        <v>841</v>
      </c>
      <c r="D53" s="273">
        <v>70000000</v>
      </c>
      <c r="E53" s="450">
        <f>'Проверочная  таблица'!UP37</f>
        <v>0</v>
      </c>
      <c r="F53" s="450">
        <f>'Проверочная  таблица'!UW37</f>
        <v>0</v>
      </c>
      <c r="G53" s="190">
        <f>D53-E53</f>
        <v>70000000</v>
      </c>
      <c r="H53" s="289">
        <f>IF(F53&gt;E53,1,0)</f>
        <v>0</v>
      </c>
      <c r="I53" s="289">
        <f>IF(G53&lt;0,1,0)</f>
        <v>0</v>
      </c>
    </row>
    <row r="54" spans="1:10" ht="14.25" x14ac:dyDescent="0.2">
      <c r="A54" s="1006"/>
      <c r="B54" s="693" t="s">
        <v>58</v>
      </c>
      <c r="C54" s="1007"/>
      <c r="D54" s="694"/>
      <c r="E54" s="691">
        <f>'Проверочная  таблица'!UQ37</f>
        <v>0</v>
      </c>
      <c r="F54" s="691">
        <f>'Проверочная  таблица'!UX37</f>
        <v>0</v>
      </c>
      <c r="G54" s="695">
        <f t="shared" ref="G54" si="32">D54-E54</f>
        <v>0</v>
      </c>
      <c r="H54" s="1008">
        <f t="shared" ref="H54" si="33">IF(F54&gt;E54,1,0)</f>
        <v>0</v>
      </c>
      <c r="I54" s="1008">
        <f t="shared" ref="I54" si="34">IF(G54&lt;0,1,0)</f>
        <v>0</v>
      </c>
    </row>
    <row r="55" spans="1:10" x14ac:dyDescent="0.2">
      <c r="A55" s="1127"/>
      <c r="B55" s="481"/>
      <c r="C55" s="144"/>
      <c r="D55" s="273"/>
      <c r="E55" s="189"/>
      <c r="F55" s="189"/>
      <c r="G55" s="190"/>
      <c r="H55" s="289"/>
      <c r="I55" s="289"/>
    </row>
    <row r="56" spans="1:10" s="1004" customFormat="1" x14ac:dyDescent="0.2">
      <c r="A56" s="1930" t="s">
        <v>1</v>
      </c>
      <c r="B56" s="1930"/>
      <c r="C56" s="183"/>
      <c r="D56" s="183">
        <f>D8+D13+D32+D26+D51+D38+D22+D47</f>
        <v>2227988400.6400003</v>
      </c>
      <c r="E56" s="183">
        <f t="shared" ref="E56:G56" si="35">E8+E13+E32+E26+E51+E38+E22+E47</f>
        <v>1914974612.5300002</v>
      </c>
      <c r="F56" s="183">
        <f t="shared" si="35"/>
        <v>1517700303.5900002</v>
      </c>
      <c r="G56" s="183">
        <f t="shared" si="35"/>
        <v>313013788.11000001</v>
      </c>
      <c r="H56" s="1003">
        <f>SUM(H21:H36)</f>
        <v>0</v>
      </c>
      <c r="I56" s="1003">
        <f>SUM(I21:I36)</f>
        <v>0</v>
      </c>
      <c r="J56" s="1545"/>
    </row>
    <row r="57" spans="1:10" x14ac:dyDescent="0.2">
      <c r="D57" s="1005">
        <f>D56-'[1]Иные межбюджетные трансферты'!$B$39+'[1]Иные межбюджетные трансферты'!$B$42+'[1]Иные межбюджетные трансферты'!$B$43+'[1]Иные межбюджетные трансферты'!$B$41+'[1]Иные межбюджетные трансферты'!$B$44</f>
        <v>4.76837158203125E-7</v>
      </c>
      <c r="E57" s="1005">
        <f>E56-'[1]Иные межбюджетные трансферты'!$B$35</f>
        <v>0</v>
      </c>
      <c r="G57" s="1005">
        <f>G56-'[1]Иные межбюджетные трансферты'!$B$37*1000</f>
        <v>18488.110000014305</v>
      </c>
    </row>
    <row r="59" spans="1:10" x14ac:dyDescent="0.2">
      <c r="C59" s="1921" t="s">
        <v>932</v>
      </c>
      <c r="D59" s="1921"/>
      <c r="E59" s="1921"/>
      <c r="F59" s="1921"/>
      <c r="G59" s="1921"/>
    </row>
    <row r="60" spans="1:10" x14ac:dyDescent="0.2">
      <c r="C60" s="699" t="s">
        <v>390</v>
      </c>
      <c r="D60" s="700">
        <f>D20+D35+D54+D41+D45+D30+D43+D18</f>
        <v>1284240300</v>
      </c>
      <c r="E60" s="700">
        <f t="shared" ref="E60:G60" si="36">E20+E35+E54+E41+E45+E30+E43+E18</f>
        <v>1141245000</v>
      </c>
      <c r="F60" s="700">
        <f t="shared" si="36"/>
        <v>992303607.10000002</v>
      </c>
      <c r="G60" s="700">
        <f t="shared" si="36"/>
        <v>142995300</v>
      </c>
    </row>
    <row r="62" spans="1:10" x14ac:dyDescent="0.2">
      <c r="C62" s="1921" t="s">
        <v>675</v>
      </c>
      <c r="D62" s="1921"/>
      <c r="E62" s="1921"/>
      <c r="F62" s="1921"/>
      <c r="G62" s="1921"/>
    </row>
    <row r="63" spans="1:10" x14ac:dyDescent="0.2">
      <c r="C63" s="699" t="s">
        <v>390</v>
      </c>
      <c r="D63" s="700">
        <f>D56-D60</f>
        <v>943748100.64000034</v>
      </c>
      <c r="E63" s="700">
        <f t="shared" ref="E63:G63" si="37">E56-E60</f>
        <v>773729612.53000021</v>
      </c>
      <c r="F63" s="700">
        <f t="shared" si="37"/>
        <v>525396696.49000013</v>
      </c>
      <c r="G63" s="700">
        <f t="shared" si="37"/>
        <v>170018488.11000001</v>
      </c>
    </row>
    <row r="64" spans="1:10" s="373" customFormat="1" ht="15.75" thickBot="1" x14ac:dyDescent="0.25">
      <c r="C64" s="1161"/>
      <c r="D64" s="1161"/>
      <c r="E64" s="1161"/>
      <c r="F64" s="1161"/>
      <c r="G64" s="1161"/>
      <c r="I64" s="1162"/>
    </row>
    <row r="65" spans="4:6" ht="60.75" thickBot="1" x14ac:dyDescent="0.3">
      <c r="D65" s="1518">
        <f>D60</f>
        <v>1284240300</v>
      </c>
      <c r="E65" s="283" t="s">
        <v>393</v>
      </c>
      <c r="F65" s="1518">
        <f>F60</f>
        <v>992303607.10000002</v>
      </c>
    </row>
    <row r="67" spans="4:6" x14ac:dyDescent="0.25">
      <c r="D67" s="1013">
        <f>D60-D65</f>
        <v>0</v>
      </c>
      <c r="E67" s="283" t="s">
        <v>164</v>
      </c>
      <c r="F67" s="1013">
        <f>F60-F65</f>
        <v>0</v>
      </c>
    </row>
  </sheetData>
  <mergeCells count="6">
    <mergeCell ref="C62:G62"/>
    <mergeCell ref="A56:B56"/>
    <mergeCell ref="A2:G2"/>
    <mergeCell ref="A3:G3"/>
    <mergeCell ref="A4:G4"/>
    <mergeCell ref="C59:G59"/>
  </mergeCells>
  <phoneticPr fontId="0" type="noConversion"/>
  <pageMargins left="0.78740157480314965" right="0.39370078740157483" top="0.78740157480314965" bottom="0.78740157480314965" header="0.51181102362204722" footer="0.51181102362204722"/>
  <pageSetup paperSize="9" scale="55" fitToHeight="2" orientation="portrait" r:id="rId1"/>
  <headerFooter alignWithMargins="0">
    <oddFooter>&amp;R&amp;Z&amp;F&amp;A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JP41"/>
  <sheetViews>
    <sheetView view="pageBreakPreview" topLeftCell="A2" zoomScale="50" zoomScaleNormal="50" zoomScaleSheetLayoutView="50" workbookViewId="0">
      <pane xSplit="1" ySplit="8" topLeftCell="B37" activePane="bottomRight" state="frozen"/>
      <selection activeCell="D27" sqref="D27"/>
      <selection pane="topRight" activeCell="D27" sqref="D27"/>
      <selection pane="bottomLeft" activeCell="D27" sqref="D27"/>
      <selection pane="bottomRight" activeCell="GC33" sqref="GC33"/>
    </sheetView>
  </sheetViews>
  <sheetFormatPr defaultColWidth="8.85546875" defaultRowHeight="12.75" x14ac:dyDescent="0.2"/>
  <cols>
    <col min="1" max="10" width="24.140625" style="88" customWidth="1"/>
    <col min="11" max="11" width="21" style="88" customWidth="1"/>
    <col min="12" max="12" width="22.140625" style="88" bestFit="1" customWidth="1"/>
    <col min="13" max="13" width="23.85546875" style="88" customWidth="1"/>
    <col min="14" max="14" width="24.85546875" style="88" bestFit="1" customWidth="1"/>
    <col min="15" max="28" width="23.42578125" style="88" customWidth="1"/>
    <col min="29" max="44" width="22.85546875" style="88" customWidth="1"/>
    <col min="45" max="52" width="20.42578125" style="88" customWidth="1"/>
    <col min="53" max="60" width="21.5703125" style="88" customWidth="1"/>
    <col min="61" max="68" width="20" style="88" customWidth="1"/>
    <col min="69" max="76" width="22.42578125" style="88" customWidth="1"/>
    <col min="77" max="108" width="22.85546875" style="88" customWidth="1"/>
    <col min="109" max="140" width="22.140625" style="88" customWidth="1"/>
    <col min="141" max="148" width="19.85546875" style="88" customWidth="1"/>
    <col min="149" max="156" width="22.85546875" style="88" customWidth="1"/>
    <col min="157" max="180" width="23.140625" style="88" customWidth="1"/>
    <col min="181" max="188" width="22.140625" style="88" customWidth="1"/>
    <col min="189" max="196" width="22.42578125" style="88" customWidth="1"/>
    <col min="197" max="204" width="22.140625" style="88" customWidth="1"/>
    <col min="205" max="212" width="23.5703125" style="88" customWidth="1"/>
    <col min="213" max="244" width="22.85546875" style="88" customWidth="1"/>
    <col min="245" max="252" width="22.140625" style="88" customWidth="1"/>
    <col min="253" max="260" width="21.42578125" style="88" customWidth="1"/>
    <col min="261" max="268" width="19.85546875" style="88" customWidth="1"/>
    <col min="269" max="276" width="21.42578125" style="88" customWidth="1"/>
    <col min="277" max="16384" width="8.85546875" style="88"/>
  </cols>
  <sheetData>
    <row r="2" spans="1:276" ht="19.5" x14ac:dyDescent="0.3">
      <c r="O2" s="86" t="s">
        <v>760</v>
      </c>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c r="IU2" s="86"/>
      <c r="IV2" s="86"/>
      <c r="IW2" s="86"/>
      <c r="IX2" s="86"/>
      <c r="IY2" s="86"/>
      <c r="IZ2" s="86"/>
      <c r="JA2" s="86"/>
      <c r="JB2" s="86"/>
      <c r="JC2" s="86"/>
      <c r="JD2" s="86"/>
      <c r="JE2" s="86"/>
      <c r="JF2" s="86"/>
      <c r="JG2" s="86"/>
      <c r="JH2" s="86"/>
    </row>
    <row r="3" spans="1:276" ht="19.5" x14ac:dyDescent="0.3">
      <c r="P3" s="504" t="str">
        <f>'Район  и  поселения'!E3</f>
        <v>ПО  СОСТОЯНИЮ  НА  1  ОКТЯБРЯ  2021  ГОДА</v>
      </c>
      <c r="AH3" s="504"/>
      <c r="AI3" s="504"/>
      <c r="AJ3" s="504"/>
      <c r="AK3" s="504"/>
      <c r="AL3" s="504"/>
      <c r="AM3" s="504"/>
      <c r="AN3" s="504"/>
      <c r="AO3" s="504"/>
      <c r="AP3" s="504"/>
      <c r="AQ3" s="504"/>
      <c r="AR3" s="504"/>
    </row>
    <row r="5" spans="1:276" ht="13.5" thickBot="1" x14ac:dyDescent="0.25">
      <c r="M5" s="90"/>
      <c r="N5" s="90"/>
      <c r="O5" s="90"/>
      <c r="P5" s="90"/>
    </row>
    <row r="6" spans="1:276" ht="47.1" customHeight="1" thickBot="1" x14ac:dyDescent="0.25">
      <c r="A6" s="1850" t="s">
        <v>64</v>
      </c>
      <c r="B6" s="1864" t="s">
        <v>761</v>
      </c>
      <c r="C6" s="1892"/>
      <c r="D6" s="1892"/>
      <c r="E6" s="1892"/>
      <c r="F6" s="1892"/>
      <c r="G6" s="1892"/>
      <c r="H6" s="1892"/>
      <c r="I6" s="1881"/>
      <c r="J6" s="1307"/>
      <c r="K6" s="1307"/>
      <c r="L6" s="1307"/>
      <c r="M6" s="1843" t="s">
        <v>762</v>
      </c>
      <c r="N6" s="1844"/>
      <c r="O6" s="1844"/>
      <c r="P6" s="1844"/>
      <c r="Q6" s="1844"/>
      <c r="R6" s="1844"/>
      <c r="S6" s="1844"/>
      <c r="T6" s="1844"/>
      <c r="U6" s="1844"/>
      <c r="V6" s="1844"/>
      <c r="W6" s="1844"/>
      <c r="X6" s="1844"/>
      <c r="Y6" s="1411"/>
      <c r="Z6" s="1411"/>
      <c r="AA6" s="1411"/>
      <c r="AB6" s="1411"/>
      <c r="AC6" s="1411"/>
      <c r="AD6" s="1411"/>
      <c r="AE6" s="1411"/>
      <c r="AF6" s="1411"/>
      <c r="AG6" s="1411"/>
      <c r="AH6" s="1411"/>
      <c r="AI6" s="1411"/>
      <c r="AJ6" s="1411"/>
      <c r="AK6" s="1411"/>
      <c r="AL6" s="1411"/>
      <c r="AM6" s="1411"/>
      <c r="AN6" s="1411"/>
      <c r="AO6" s="1411"/>
      <c r="AP6" s="1411"/>
      <c r="AQ6" s="1411"/>
      <c r="AR6" s="1411"/>
      <c r="AS6" s="1411"/>
      <c r="AT6" s="1411"/>
      <c r="AU6" s="1411"/>
      <c r="AV6" s="1411"/>
      <c r="AW6" s="1411"/>
      <c r="AX6" s="1411"/>
      <c r="AY6" s="1411"/>
      <c r="AZ6" s="1411"/>
      <c r="BA6" s="1411"/>
      <c r="BB6" s="1411"/>
      <c r="BC6" s="1411"/>
      <c r="BD6" s="1411"/>
      <c r="BE6" s="1411"/>
      <c r="BF6" s="1411"/>
      <c r="BG6" s="1411"/>
      <c r="BH6" s="1411"/>
      <c r="BI6" s="1411"/>
      <c r="BJ6" s="1411"/>
      <c r="BK6" s="1411"/>
      <c r="BL6" s="1411"/>
      <c r="BM6" s="1411"/>
      <c r="BN6" s="1411"/>
      <c r="BO6" s="1411"/>
      <c r="BP6" s="1411"/>
      <c r="BQ6" s="1411"/>
      <c r="BR6" s="1411"/>
      <c r="BS6" s="1411"/>
      <c r="BT6" s="1411"/>
      <c r="BU6" s="1411"/>
      <c r="BV6" s="1411"/>
      <c r="BW6" s="1411"/>
      <c r="BX6" s="1411"/>
      <c r="BY6" s="1411"/>
      <c r="BZ6" s="1411"/>
      <c r="CA6" s="1411"/>
      <c r="CB6" s="1411"/>
      <c r="CC6" s="1411"/>
      <c r="CD6" s="1411"/>
      <c r="CE6" s="1411"/>
      <c r="CF6" s="1411"/>
      <c r="CG6" s="1411"/>
      <c r="CH6" s="1411"/>
      <c r="CI6" s="1411"/>
      <c r="CJ6" s="1411"/>
      <c r="CK6" s="1411"/>
      <c r="CL6" s="1411"/>
      <c r="CM6" s="1411"/>
      <c r="CN6" s="1411"/>
      <c r="CO6" s="1411"/>
      <c r="CP6" s="1411"/>
      <c r="CQ6" s="1411"/>
      <c r="CR6" s="1411"/>
      <c r="CS6" s="1411"/>
      <c r="CT6" s="1411"/>
      <c r="CU6" s="1411"/>
      <c r="CV6" s="1411"/>
      <c r="CW6" s="1411"/>
      <c r="CX6" s="1411"/>
      <c r="CY6" s="1411"/>
      <c r="CZ6" s="1411"/>
      <c r="DA6" s="1411"/>
      <c r="DB6" s="1411"/>
      <c r="DC6" s="1411"/>
      <c r="DD6" s="1411"/>
      <c r="DE6" s="1411"/>
      <c r="DF6" s="1411"/>
      <c r="DG6" s="1411"/>
      <c r="DH6" s="1411"/>
      <c r="DI6" s="1411"/>
      <c r="DJ6" s="1411"/>
      <c r="DK6" s="1411"/>
      <c r="DL6" s="1411"/>
      <c r="DM6" s="1411"/>
      <c r="DN6" s="1411"/>
      <c r="DO6" s="1411"/>
      <c r="DP6" s="1411"/>
      <c r="DQ6" s="1411"/>
      <c r="DR6" s="1411"/>
      <c r="DS6" s="1411"/>
      <c r="DT6" s="1411"/>
      <c r="DU6" s="1411"/>
      <c r="DV6" s="1411"/>
      <c r="DW6" s="1411"/>
      <c r="DX6" s="1411"/>
      <c r="DY6" s="1411"/>
      <c r="DZ6" s="1411"/>
      <c r="EA6" s="1411"/>
      <c r="EB6" s="1411"/>
      <c r="EC6" s="1411"/>
      <c r="ED6" s="1411"/>
      <c r="EE6" s="1411"/>
      <c r="EF6" s="1411"/>
      <c r="EG6" s="1411"/>
      <c r="EH6" s="1411"/>
      <c r="EI6" s="1411"/>
      <c r="EJ6" s="1411"/>
      <c r="EK6" s="1411"/>
      <c r="EL6" s="1411"/>
      <c r="EM6" s="1411"/>
      <c r="EN6" s="1411"/>
      <c r="EO6" s="1411"/>
      <c r="EP6" s="1411"/>
      <c r="EQ6" s="1411"/>
      <c r="ER6" s="1411"/>
      <c r="ES6" s="1411"/>
      <c r="ET6" s="1411"/>
      <c r="EU6" s="1411"/>
      <c r="EV6" s="1411"/>
      <c r="EW6" s="1411"/>
      <c r="EX6" s="1411"/>
      <c r="EY6" s="1411"/>
      <c r="EZ6" s="1411"/>
      <c r="FA6" s="1411"/>
      <c r="FB6" s="1411"/>
      <c r="FC6" s="1411"/>
      <c r="FD6" s="1411"/>
      <c r="FE6" s="1411"/>
      <c r="FF6" s="1411"/>
      <c r="FG6" s="1411"/>
      <c r="FH6" s="1411"/>
      <c r="FI6" s="1411"/>
      <c r="FJ6" s="1411"/>
      <c r="FK6" s="1411"/>
      <c r="FL6" s="1411"/>
      <c r="FM6" s="1411"/>
      <c r="FN6" s="1411"/>
      <c r="FO6" s="1411"/>
      <c r="FP6" s="1411"/>
      <c r="FQ6" s="1411"/>
      <c r="FR6" s="1411"/>
      <c r="FS6" s="1411"/>
      <c r="FT6" s="1411"/>
      <c r="FU6" s="1411"/>
      <c r="FV6" s="1411"/>
      <c r="FW6" s="1411"/>
      <c r="FX6" s="1411"/>
      <c r="FY6" s="1411"/>
      <c r="FZ6" s="1411"/>
      <c r="GA6" s="1411"/>
      <c r="GB6" s="1411"/>
      <c r="GC6" s="1411"/>
      <c r="GD6" s="1411"/>
      <c r="GE6" s="1411"/>
      <c r="GF6" s="1411"/>
      <c r="GG6" s="1411"/>
      <c r="GH6" s="1411"/>
      <c r="GI6" s="1411"/>
      <c r="GJ6" s="1411"/>
      <c r="GK6" s="1411"/>
      <c r="GL6" s="1411"/>
      <c r="GM6" s="1411"/>
      <c r="GN6" s="1411"/>
      <c r="GO6" s="1411"/>
      <c r="GP6" s="1411"/>
      <c r="GQ6" s="1411"/>
      <c r="GR6" s="1411"/>
      <c r="GS6" s="1411"/>
      <c r="GT6" s="1411"/>
      <c r="GU6" s="1411"/>
      <c r="GV6" s="1411"/>
      <c r="GW6" s="1411"/>
      <c r="GX6" s="1411"/>
      <c r="GY6" s="1411"/>
      <c r="GZ6" s="1411"/>
      <c r="HA6" s="1411"/>
      <c r="HB6" s="1411"/>
      <c r="HC6" s="1411"/>
      <c r="HD6" s="1411"/>
      <c r="HE6" s="1411"/>
      <c r="HF6" s="1411"/>
      <c r="HG6" s="1411"/>
      <c r="HH6" s="1411"/>
      <c r="HI6" s="1411"/>
      <c r="HJ6" s="1411"/>
      <c r="HK6" s="1411"/>
      <c r="HL6" s="1411"/>
      <c r="HM6" s="1411"/>
      <c r="HN6" s="1411"/>
      <c r="HO6" s="1411"/>
      <c r="HP6" s="1411"/>
      <c r="HQ6" s="1411"/>
      <c r="HR6" s="1411"/>
      <c r="HS6" s="1411"/>
      <c r="HT6" s="1411"/>
      <c r="HU6" s="1411"/>
      <c r="HV6" s="1411"/>
      <c r="HW6" s="1411"/>
      <c r="HX6" s="1411"/>
      <c r="HY6" s="1411"/>
      <c r="HZ6" s="1411"/>
      <c r="IA6" s="1411"/>
      <c r="IB6" s="1411"/>
      <c r="IC6" s="1411"/>
      <c r="ID6" s="1411"/>
      <c r="IE6" s="1411"/>
      <c r="IF6" s="1411"/>
      <c r="IG6" s="1411"/>
      <c r="IH6" s="1411"/>
      <c r="II6" s="1411"/>
      <c r="IJ6" s="1411"/>
      <c r="IK6" s="1411"/>
      <c r="IL6" s="1411"/>
      <c r="IM6" s="1411"/>
      <c r="IN6" s="1411"/>
      <c r="IO6" s="1411"/>
      <c r="IP6" s="1411"/>
      <c r="IQ6" s="1411"/>
      <c r="IR6" s="1411"/>
      <c r="IS6" s="1411"/>
      <c r="IT6" s="1411"/>
      <c r="IU6" s="1411"/>
      <c r="IV6" s="1411"/>
      <c r="IW6" s="1411"/>
      <c r="IX6" s="1411"/>
      <c r="IY6" s="1411"/>
      <c r="IZ6" s="1411"/>
      <c r="JA6" s="1411"/>
      <c r="JB6" s="1411"/>
      <c r="JC6" s="1411"/>
      <c r="JD6" s="1411"/>
      <c r="JE6" s="1411"/>
      <c r="JF6" s="1411"/>
      <c r="JG6" s="1411"/>
      <c r="JH6" s="1411"/>
      <c r="JI6" s="1617"/>
      <c r="JJ6" s="1617"/>
      <c r="JK6" s="1617"/>
      <c r="JL6" s="1617"/>
      <c r="JM6" s="1617"/>
      <c r="JN6" s="1617"/>
      <c r="JO6" s="1617"/>
      <c r="JP6" s="1618"/>
    </row>
    <row r="7" spans="1:276" ht="98.45" customHeight="1" thickBot="1" x14ac:dyDescent="0.25">
      <c r="A7" s="1851"/>
      <c r="B7" s="1851" t="s">
        <v>16</v>
      </c>
      <c r="C7" s="1931" t="s">
        <v>763</v>
      </c>
      <c r="D7" s="1931" t="s">
        <v>41</v>
      </c>
      <c r="E7" s="1931" t="s">
        <v>40</v>
      </c>
      <c r="F7" s="1851" t="s">
        <v>17</v>
      </c>
      <c r="G7" s="1931" t="s">
        <v>763</v>
      </c>
      <c r="H7" s="1931" t="s">
        <v>41</v>
      </c>
      <c r="I7" s="1931" t="s">
        <v>40</v>
      </c>
      <c r="J7" s="1308"/>
      <c r="K7" s="1308"/>
      <c r="L7" s="1308"/>
      <c r="M7" s="1851" t="s">
        <v>16</v>
      </c>
      <c r="N7" s="1934" t="s">
        <v>763</v>
      </c>
      <c r="O7" s="1931" t="s">
        <v>41</v>
      </c>
      <c r="P7" s="1934" t="s">
        <v>40</v>
      </c>
      <c r="Q7" s="1851" t="s">
        <v>17</v>
      </c>
      <c r="R7" s="1934" t="s">
        <v>763</v>
      </c>
      <c r="S7" s="1931" t="s">
        <v>41</v>
      </c>
      <c r="T7" s="1934" t="s">
        <v>40</v>
      </c>
      <c r="U7" s="1872" t="s">
        <v>764</v>
      </c>
      <c r="V7" s="1849"/>
      <c r="W7" s="1849"/>
      <c r="X7" s="1849"/>
      <c r="Y7" s="1849"/>
      <c r="Z7" s="1849"/>
      <c r="AA7" s="1849"/>
      <c r="AB7" s="1885"/>
      <c r="AC7" s="1872" t="s">
        <v>765</v>
      </c>
      <c r="AD7" s="1849"/>
      <c r="AE7" s="1849"/>
      <c r="AF7" s="1849"/>
      <c r="AG7" s="1849"/>
      <c r="AH7" s="1849"/>
      <c r="AI7" s="1849"/>
      <c r="AJ7" s="1885"/>
      <c r="AK7" s="1872" t="s">
        <v>535</v>
      </c>
      <c r="AL7" s="1849"/>
      <c r="AM7" s="1849"/>
      <c r="AN7" s="1849"/>
      <c r="AO7" s="1849"/>
      <c r="AP7" s="1849"/>
      <c r="AQ7" s="1849"/>
      <c r="AR7" s="1885"/>
      <c r="AS7" s="1898" t="s">
        <v>766</v>
      </c>
      <c r="AT7" s="1933"/>
      <c r="AU7" s="1933"/>
      <c r="AV7" s="1933"/>
      <c r="AW7" s="1933"/>
      <c r="AX7" s="1933"/>
      <c r="AY7" s="1933"/>
      <c r="AZ7" s="1933"/>
      <c r="BA7" s="1933"/>
      <c r="BB7" s="1933"/>
      <c r="BC7" s="1933"/>
      <c r="BD7" s="1933"/>
      <c r="BE7" s="1933"/>
      <c r="BF7" s="1933"/>
      <c r="BG7" s="1933"/>
      <c r="BH7" s="1899"/>
      <c r="BI7" s="1872" t="s">
        <v>767</v>
      </c>
      <c r="BJ7" s="1849"/>
      <c r="BK7" s="1849"/>
      <c r="BL7" s="1849"/>
      <c r="BM7" s="1849"/>
      <c r="BN7" s="1849"/>
      <c r="BO7" s="1849"/>
      <c r="BP7" s="1885"/>
      <c r="BQ7" s="1854" t="s">
        <v>424</v>
      </c>
      <c r="BR7" s="1861"/>
      <c r="BS7" s="1861"/>
      <c r="BT7" s="1861"/>
      <c r="BU7" s="1861"/>
      <c r="BV7" s="1861"/>
      <c r="BW7" s="1861"/>
      <c r="BX7" s="1861"/>
      <c r="BY7" s="1861"/>
      <c r="BZ7" s="1861"/>
      <c r="CA7" s="1861"/>
      <c r="CB7" s="1861"/>
      <c r="CC7" s="1861"/>
      <c r="CD7" s="1861"/>
      <c r="CE7" s="1861"/>
      <c r="CF7" s="1861"/>
      <c r="CG7" s="1861"/>
      <c r="CH7" s="1861"/>
      <c r="CI7" s="1861"/>
      <c r="CJ7" s="1861"/>
      <c r="CK7" s="1861"/>
      <c r="CL7" s="1861"/>
      <c r="CM7" s="1861"/>
      <c r="CN7" s="1855"/>
      <c r="CO7" s="1854" t="s">
        <v>449</v>
      </c>
      <c r="CP7" s="1861"/>
      <c r="CQ7" s="1861"/>
      <c r="CR7" s="1861"/>
      <c r="CS7" s="1861"/>
      <c r="CT7" s="1861"/>
      <c r="CU7" s="1861"/>
      <c r="CV7" s="1855"/>
      <c r="CW7" s="1872" t="s">
        <v>566</v>
      </c>
      <c r="CX7" s="1849"/>
      <c r="CY7" s="1849"/>
      <c r="CZ7" s="1849"/>
      <c r="DA7" s="1849"/>
      <c r="DB7" s="1849"/>
      <c r="DC7" s="1849"/>
      <c r="DD7" s="1885"/>
      <c r="DE7" s="1872" t="s">
        <v>768</v>
      </c>
      <c r="DF7" s="1849"/>
      <c r="DG7" s="1849"/>
      <c r="DH7" s="1849"/>
      <c r="DI7" s="1849"/>
      <c r="DJ7" s="1849"/>
      <c r="DK7" s="1849"/>
      <c r="DL7" s="1885"/>
      <c r="DM7" s="1872" t="s">
        <v>692</v>
      </c>
      <c r="DN7" s="1849"/>
      <c r="DO7" s="1849"/>
      <c r="DP7" s="1849"/>
      <c r="DQ7" s="1849"/>
      <c r="DR7" s="1849"/>
      <c r="DS7" s="1849"/>
      <c r="DT7" s="1885"/>
      <c r="DU7" s="1872" t="s">
        <v>697</v>
      </c>
      <c r="DV7" s="1849"/>
      <c r="DW7" s="1849"/>
      <c r="DX7" s="1849"/>
      <c r="DY7" s="1849"/>
      <c r="DZ7" s="1849"/>
      <c r="EA7" s="1849"/>
      <c r="EB7" s="1885"/>
      <c r="EC7" s="1873" t="s">
        <v>674</v>
      </c>
      <c r="ED7" s="1886"/>
      <c r="EE7" s="1886"/>
      <c r="EF7" s="1886"/>
      <c r="EG7" s="1886"/>
      <c r="EH7" s="1886"/>
      <c r="EI7" s="1886"/>
      <c r="EJ7" s="1886"/>
      <c r="EK7" s="1872" t="s">
        <v>412</v>
      </c>
      <c r="EL7" s="1849"/>
      <c r="EM7" s="1849"/>
      <c r="EN7" s="1849"/>
      <c r="EO7" s="1849"/>
      <c r="EP7" s="1849"/>
      <c r="EQ7" s="1849"/>
      <c r="ER7" s="1885"/>
      <c r="ES7" s="1872" t="s">
        <v>624</v>
      </c>
      <c r="ET7" s="1849"/>
      <c r="EU7" s="1849"/>
      <c r="EV7" s="1849"/>
      <c r="EW7" s="1849"/>
      <c r="EX7" s="1849"/>
      <c r="EY7" s="1849"/>
      <c r="EZ7" s="1885"/>
      <c r="FA7" s="1864" t="s">
        <v>369</v>
      </c>
      <c r="FB7" s="1892"/>
      <c r="FC7" s="1892"/>
      <c r="FD7" s="1892"/>
      <c r="FE7" s="1892"/>
      <c r="FF7" s="1892"/>
      <c r="FG7" s="1892"/>
      <c r="FH7" s="1892"/>
      <c r="FI7" s="1892"/>
      <c r="FJ7" s="1892"/>
      <c r="FK7" s="1892"/>
      <c r="FL7" s="1892"/>
      <c r="FM7" s="1892"/>
      <c r="FN7" s="1892"/>
      <c r="FO7" s="1892"/>
      <c r="FP7" s="1892"/>
      <c r="FQ7" s="1892"/>
      <c r="FR7" s="1892"/>
      <c r="FS7" s="1892"/>
      <c r="FT7" s="1892"/>
      <c r="FU7" s="1892"/>
      <c r="FV7" s="1892"/>
      <c r="FW7" s="1892"/>
      <c r="FX7" s="1892"/>
      <c r="FY7" s="1892"/>
      <c r="FZ7" s="1892"/>
      <c r="GA7" s="1892"/>
      <c r="GB7" s="1892"/>
      <c r="GC7" s="1892"/>
      <c r="GD7" s="1892"/>
      <c r="GE7" s="1892"/>
      <c r="GF7" s="1881"/>
      <c r="GG7" s="1873" t="s">
        <v>366</v>
      </c>
      <c r="GH7" s="1886"/>
      <c r="GI7" s="1886"/>
      <c r="GJ7" s="1886"/>
      <c r="GK7" s="1886"/>
      <c r="GL7" s="1886"/>
      <c r="GM7" s="1886"/>
      <c r="GN7" s="1886"/>
      <c r="GO7" s="1886"/>
      <c r="GP7" s="1886"/>
      <c r="GQ7" s="1886"/>
      <c r="GR7" s="1886"/>
      <c r="GS7" s="1886"/>
      <c r="GT7" s="1886"/>
      <c r="GU7" s="1886"/>
      <c r="GV7" s="1884"/>
      <c r="GW7" s="1873" t="s">
        <v>614</v>
      </c>
      <c r="GX7" s="1886"/>
      <c r="GY7" s="1886"/>
      <c r="GZ7" s="1886"/>
      <c r="HA7" s="1886"/>
      <c r="HB7" s="1886"/>
      <c r="HC7" s="1886"/>
      <c r="HD7" s="1884"/>
      <c r="HE7" s="1854" t="s">
        <v>590</v>
      </c>
      <c r="HF7" s="1861"/>
      <c r="HG7" s="1861"/>
      <c r="HH7" s="1861"/>
      <c r="HI7" s="1861"/>
      <c r="HJ7" s="1861"/>
      <c r="HK7" s="1861"/>
      <c r="HL7" s="1861"/>
      <c r="HM7" s="1861"/>
      <c r="HN7" s="1861"/>
      <c r="HO7" s="1861"/>
      <c r="HP7" s="1861"/>
      <c r="HQ7" s="1861"/>
      <c r="HR7" s="1861"/>
      <c r="HS7" s="1861"/>
      <c r="HT7" s="1861"/>
      <c r="HU7" s="1861"/>
      <c r="HV7" s="1861"/>
      <c r="HW7" s="1861"/>
      <c r="HX7" s="1861"/>
      <c r="HY7" s="1861"/>
      <c r="HZ7" s="1861"/>
      <c r="IA7" s="1861"/>
      <c r="IB7" s="1855"/>
      <c r="IC7" s="1606"/>
      <c r="ID7" s="1606"/>
      <c r="IE7" s="1606"/>
      <c r="IF7" s="1606"/>
      <c r="IG7" s="1606"/>
      <c r="IH7" s="1606"/>
      <c r="II7" s="1606"/>
      <c r="IJ7" s="1606"/>
      <c r="IK7" s="1616"/>
      <c r="IL7" s="1616"/>
      <c r="IM7" s="1616"/>
      <c r="IN7" s="1616"/>
      <c r="IO7" s="1616"/>
      <c r="IP7" s="1616"/>
      <c r="IQ7" s="1616"/>
      <c r="IR7" s="1616"/>
      <c r="IS7" s="1873" t="s">
        <v>564</v>
      </c>
      <c r="IT7" s="1886"/>
      <c r="IU7" s="1886"/>
      <c r="IV7" s="1886"/>
      <c r="IW7" s="1886"/>
      <c r="IX7" s="1886"/>
      <c r="IY7" s="1886"/>
      <c r="IZ7" s="1884"/>
      <c r="JA7" s="1854" t="s">
        <v>587</v>
      </c>
      <c r="JB7" s="1861"/>
      <c r="JC7" s="1861"/>
      <c r="JD7" s="1861"/>
      <c r="JE7" s="1861"/>
      <c r="JF7" s="1861"/>
      <c r="JG7" s="1861"/>
      <c r="JH7" s="1855"/>
      <c r="JI7" s="1864" t="s">
        <v>857</v>
      </c>
      <c r="JJ7" s="1892"/>
      <c r="JK7" s="1892"/>
      <c r="JL7" s="1892"/>
      <c r="JM7" s="1892"/>
      <c r="JN7" s="1892"/>
      <c r="JO7" s="1892"/>
      <c r="JP7" s="1881"/>
    </row>
    <row r="8" spans="1:276" ht="177.6" customHeight="1" thickBot="1" x14ac:dyDescent="0.25">
      <c r="A8" s="1851"/>
      <c r="B8" s="1851"/>
      <c r="C8" s="1931"/>
      <c r="D8" s="1931"/>
      <c r="E8" s="1931"/>
      <c r="F8" s="1851"/>
      <c r="G8" s="1931"/>
      <c r="H8" s="1931"/>
      <c r="I8" s="1931"/>
      <c r="J8" s="1308"/>
      <c r="K8" s="1308"/>
      <c r="L8" s="1308"/>
      <c r="M8" s="1851"/>
      <c r="N8" s="1931"/>
      <c r="O8" s="1931"/>
      <c r="P8" s="1931"/>
      <c r="Q8" s="1851"/>
      <c r="R8" s="1931"/>
      <c r="S8" s="1931"/>
      <c r="T8" s="1931"/>
      <c r="U8" s="1873"/>
      <c r="V8" s="1886"/>
      <c r="W8" s="1886"/>
      <c r="X8" s="1886"/>
      <c r="Y8" s="1886"/>
      <c r="Z8" s="1886"/>
      <c r="AA8" s="1886"/>
      <c r="AB8" s="1884"/>
      <c r="AC8" s="1873"/>
      <c r="AD8" s="1886"/>
      <c r="AE8" s="1886"/>
      <c r="AF8" s="1886"/>
      <c r="AG8" s="1886"/>
      <c r="AH8" s="1886"/>
      <c r="AI8" s="1886"/>
      <c r="AJ8" s="1884"/>
      <c r="AK8" s="1873"/>
      <c r="AL8" s="1886"/>
      <c r="AM8" s="1886"/>
      <c r="AN8" s="1886"/>
      <c r="AO8" s="1886"/>
      <c r="AP8" s="1886"/>
      <c r="AQ8" s="1886"/>
      <c r="AR8" s="1884"/>
      <c r="AS8" s="1864" t="s">
        <v>321</v>
      </c>
      <c r="AT8" s="1892"/>
      <c r="AU8" s="1892"/>
      <c r="AV8" s="1892"/>
      <c r="AW8" s="1892"/>
      <c r="AX8" s="1892"/>
      <c r="AY8" s="1892"/>
      <c r="AZ8" s="1881"/>
      <c r="BA8" s="1864" t="s">
        <v>249</v>
      </c>
      <c r="BB8" s="1892"/>
      <c r="BC8" s="1892"/>
      <c r="BD8" s="1892"/>
      <c r="BE8" s="1892"/>
      <c r="BF8" s="1892"/>
      <c r="BG8" s="1892"/>
      <c r="BH8" s="1881"/>
      <c r="BI8" s="1873"/>
      <c r="BJ8" s="1886"/>
      <c r="BK8" s="1886"/>
      <c r="BL8" s="1886"/>
      <c r="BM8" s="1886"/>
      <c r="BN8" s="1886"/>
      <c r="BO8" s="1886"/>
      <c r="BP8" s="1884"/>
      <c r="BQ8" s="1864" t="s">
        <v>499</v>
      </c>
      <c r="BR8" s="1892"/>
      <c r="BS8" s="1892"/>
      <c r="BT8" s="1892"/>
      <c r="BU8" s="1892"/>
      <c r="BV8" s="1892"/>
      <c r="BW8" s="1892"/>
      <c r="BX8" s="1881"/>
      <c r="BY8" s="1864" t="s">
        <v>503</v>
      </c>
      <c r="BZ8" s="1892"/>
      <c r="CA8" s="1892"/>
      <c r="CB8" s="1892"/>
      <c r="CC8" s="1892"/>
      <c r="CD8" s="1892"/>
      <c r="CE8" s="1892"/>
      <c r="CF8" s="1881"/>
      <c r="CG8" s="1864" t="s">
        <v>821</v>
      </c>
      <c r="CH8" s="1892"/>
      <c r="CI8" s="1892"/>
      <c r="CJ8" s="1892"/>
      <c r="CK8" s="1892"/>
      <c r="CL8" s="1892"/>
      <c r="CM8" s="1892"/>
      <c r="CN8" s="1881"/>
      <c r="CO8" s="1864" t="s">
        <v>505</v>
      </c>
      <c r="CP8" s="1892"/>
      <c r="CQ8" s="1892"/>
      <c r="CR8" s="1892"/>
      <c r="CS8" s="1892"/>
      <c r="CT8" s="1892"/>
      <c r="CU8" s="1892"/>
      <c r="CV8" s="1881"/>
      <c r="CW8" s="1873"/>
      <c r="CX8" s="1886"/>
      <c r="CY8" s="1886"/>
      <c r="CZ8" s="1886"/>
      <c r="DA8" s="1886"/>
      <c r="DB8" s="1886"/>
      <c r="DC8" s="1886"/>
      <c r="DD8" s="1884"/>
      <c r="DE8" s="1873"/>
      <c r="DF8" s="1886"/>
      <c r="DG8" s="1886"/>
      <c r="DH8" s="1886"/>
      <c r="DI8" s="1886"/>
      <c r="DJ8" s="1886"/>
      <c r="DK8" s="1886"/>
      <c r="DL8" s="1884"/>
      <c r="DM8" s="1873"/>
      <c r="DN8" s="1886"/>
      <c r="DO8" s="1886"/>
      <c r="DP8" s="1886"/>
      <c r="DQ8" s="1886"/>
      <c r="DR8" s="1886"/>
      <c r="DS8" s="1886"/>
      <c r="DT8" s="1884"/>
      <c r="DU8" s="1873"/>
      <c r="DV8" s="1886"/>
      <c r="DW8" s="1886"/>
      <c r="DX8" s="1886"/>
      <c r="DY8" s="1886"/>
      <c r="DZ8" s="1886"/>
      <c r="EA8" s="1886"/>
      <c r="EB8" s="1884"/>
      <c r="EC8" s="1864" t="s">
        <v>769</v>
      </c>
      <c r="ED8" s="1892"/>
      <c r="EE8" s="1892"/>
      <c r="EF8" s="1892"/>
      <c r="EG8" s="1892"/>
      <c r="EH8" s="1892"/>
      <c r="EI8" s="1892"/>
      <c r="EJ8" s="1892"/>
      <c r="EK8" s="1873"/>
      <c r="EL8" s="1886"/>
      <c r="EM8" s="1886"/>
      <c r="EN8" s="1886"/>
      <c r="EO8" s="1886"/>
      <c r="EP8" s="1886"/>
      <c r="EQ8" s="1886"/>
      <c r="ER8" s="1884"/>
      <c r="ES8" s="1873"/>
      <c r="ET8" s="1886"/>
      <c r="EU8" s="1886"/>
      <c r="EV8" s="1886"/>
      <c r="EW8" s="1886"/>
      <c r="EX8" s="1886"/>
      <c r="EY8" s="1886"/>
      <c r="EZ8" s="1884"/>
      <c r="FA8" s="1864" t="s">
        <v>318</v>
      </c>
      <c r="FB8" s="1892"/>
      <c r="FC8" s="1892"/>
      <c r="FD8" s="1892"/>
      <c r="FE8" s="1892"/>
      <c r="FF8" s="1892"/>
      <c r="FG8" s="1892"/>
      <c r="FH8" s="1881"/>
      <c r="FI8" s="1864" t="s">
        <v>726</v>
      </c>
      <c r="FJ8" s="1892"/>
      <c r="FK8" s="1892"/>
      <c r="FL8" s="1892"/>
      <c r="FM8" s="1892"/>
      <c r="FN8" s="1892"/>
      <c r="FO8" s="1892"/>
      <c r="FP8" s="1881"/>
      <c r="FQ8" s="1864" t="s">
        <v>927</v>
      </c>
      <c r="FR8" s="1892"/>
      <c r="FS8" s="1892"/>
      <c r="FT8" s="1892"/>
      <c r="FU8" s="1892"/>
      <c r="FV8" s="1892"/>
      <c r="FW8" s="1892"/>
      <c r="FX8" s="1881"/>
      <c r="FY8" s="1864" t="s">
        <v>722</v>
      </c>
      <c r="FZ8" s="1892"/>
      <c r="GA8" s="1892"/>
      <c r="GB8" s="1892"/>
      <c r="GC8" s="1892"/>
      <c r="GD8" s="1892"/>
      <c r="GE8" s="1892"/>
      <c r="GF8" s="1881"/>
      <c r="GG8" s="1864" t="s">
        <v>770</v>
      </c>
      <c r="GH8" s="1892"/>
      <c r="GI8" s="1892"/>
      <c r="GJ8" s="1892"/>
      <c r="GK8" s="1892"/>
      <c r="GL8" s="1892"/>
      <c r="GM8" s="1892"/>
      <c r="GN8" s="1881"/>
      <c r="GO8" s="1864" t="s">
        <v>771</v>
      </c>
      <c r="GP8" s="1892"/>
      <c r="GQ8" s="1892"/>
      <c r="GR8" s="1892"/>
      <c r="GS8" s="1892"/>
      <c r="GT8" s="1892"/>
      <c r="GU8" s="1892"/>
      <c r="GV8" s="1881"/>
      <c r="GW8" s="1864" t="s">
        <v>574</v>
      </c>
      <c r="GX8" s="1892"/>
      <c r="GY8" s="1892"/>
      <c r="GZ8" s="1892"/>
      <c r="HA8" s="1892"/>
      <c r="HB8" s="1892"/>
      <c r="HC8" s="1892"/>
      <c r="HD8" s="1881"/>
      <c r="HE8" s="1864" t="s">
        <v>586</v>
      </c>
      <c r="HF8" s="1892"/>
      <c r="HG8" s="1892"/>
      <c r="HH8" s="1892"/>
      <c r="HI8" s="1892"/>
      <c r="HJ8" s="1892"/>
      <c r="HK8" s="1892"/>
      <c r="HL8" s="1881"/>
      <c r="HM8" s="1864" t="s">
        <v>589</v>
      </c>
      <c r="HN8" s="1892"/>
      <c r="HO8" s="1892"/>
      <c r="HP8" s="1892"/>
      <c r="HQ8" s="1892"/>
      <c r="HR8" s="1892"/>
      <c r="HS8" s="1892"/>
      <c r="HT8" s="1881"/>
      <c r="HU8" s="1864" t="s">
        <v>909</v>
      </c>
      <c r="HV8" s="1892"/>
      <c r="HW8" s="1892"/>
      <c r="HX8" s="1892"/>
      <c r="HY8" s="1892"/>
      <c r="HZ8" s="1892"/>
      <c r="IA8" s="1892"/>
      <c r="IB8" s="1881"/>
      <c r="IC8" s="1864" t="s">
        <v>826</v>
      </c>
      <c r="ID8" s="1892"/>
      <c r="IE8" s="1892"/>
      <c r="IF8" s="1892"/>
      <c r="IG8" s="1892"/>
      <c r="IH8" s="1892"/>
      <c r="II8" s="1892"/>
      <c r="IJ8" s="1881"/>
      <c r="IK8" s="1864" t="s">
        <v>592</v>
      </c>
      <c r="IL8" s="1892"/>
      <c r="IM8" s="1892"/>
      <c r="IN8" s="1892"/>
      <c r="IO8" s="1892"/>
      <c r="IP8" s="1892"/>
      <c r="IQ8" s="1892"/>
      <c r="IR8" s="1881"/>
      <c r="IS8" s="1864" t="s">
        <v>568</v>
      </c>
      <c r="IT8" s="1892"/>
      <c r="IU8" s="1892"/>
      <c r="IV8" s="1892"/>
      <c r="IW8" s="1892"/>
      <c r="IX8" s="1892"/>
      <c r="IY8" s="1892"/>
      <c r="IZ8" s="1881"/>
      <c r="JA8" s="1864" t="s">
        <v>256</v>
      </c>
      <c r="JB8" s="1892"/>
      <c r="JC8" s="1892"/>
      <c r="JD8" s="1892"/>
      <c r="JE8" s="1892"/>
      <c r="JF8" s="1892"/>
      <c r="JG8" s="1892"/>
      <c r="JH8" s="1881"/>
      <c r="JI8" s="1864" t="s">
        <v>853</v>
      </c>
      <c r="JJ8" s="1892"/>
      <c r="JK8" s="1892"/>
      <c r="JL8" s="1892"/>
      <c r="JM8" s="1892"/>
      <c r="JN8" s="1892"/>
      <c r="JO8" s="1892"/>
      <c r="JP8" s="1881"/>
    </row>
    <row r="9" spans="1:276" ht="21" customHeight="1" thickBot="1" x14ac:dyDescent="0.3">
      <c r="A9" s="1320"/>
      <c r="B9" s="1871"/>
      <c r="C9" s="1932"/>
      <c r="D9" s="1932"/>
      <c r="E9" s="1932"/>
      <c r="F9" s="1871"/>
      <c r="G9" s="1932"/>
      <c r="H9" s="1932"/>
      <c r="I9" s="1932"/>
      <c r="J9" s="1320"/>
      <c r="K9" s="1320"/>
      <c r="L9" s="1320"/>
      <c r="M9" s="1871"/>
      <c r="N9" s="1932"/>
      <c r="O9" s="1932"/>
      <c r="P9" s="1932"/>
      <c r="Q9" s="1871"/>
      <c r="R9" s="1932"/>
      <c r="S9" s="1932"/>
      <c r="T9" s="1932"/>
      <c r="U9" s="93" t="s">
        <v>156</v>
      </c>
      <c r="V9" s="1321" t="s">
        <v>763</v>
      </c>
      <c r="W9" s="1322" t="s">
        <v>41</v>
      </c>
      <c r="X9" s="1321" t="s">
        <v>40</v>
      </c>
      <c r="Y9" s="91" t="s">
        <v>157</v>
      </c>
      <c r="Z9" s="1322" t="s">
        <v>763</v>
      </c>
      <c r="AA9" s="1321" t="s">
        <v>41</v>
      </c>
      <c r="AB9" s="1323" t="s">
        <v>40</v>
      </c>
      <c r="AC9" s="93" t="s">
        <v>156</v>
      </c>
      <c r="AD9" s="1324" t="s">
        <v>763</v>
      </c>
      <c r="AE9" s="1321" t="s">
        <v>41</v>
      </c>
      <c r="AF9" s="1323" t="s">
        <v>40</v>
      </c>
      <c r="AG9" s="95" t="s">
        <v>157</v>
      </c>
      <c r="AH9" s="1324" t="s">
        <v>763</v>
      </c>
      <c r="AI9" s="1321" t="s">
        <v>41</v>
      </c>
      <c r="AJ9" s="1323" t="s">
        <v>40</v>
      </c>
      <c r="AK9" s="93" t="s">
        <v>156</v>
      </c>
      <c r="AL9" s="1321" t="s">
        <v>763</v>
      </c>
      <c r="AM9" s="1322" t="s">
        <v>41</v>
      </c>
      <c r="AN9" s="1321" t="s">
        <v>40</v>
      </c>
      <c r="AO9" s="95" t="s">
        <v>157</v>
      </c>
      <c r="AP9" s="1324" t="s">
        <v>763</v>
      </c>
      <c r="AQ9" s="1321" t="s">
        <v>41</v>
      </c>
      <c r="AR9" s="1323" t="s">
        <v>40</v>
      </c>
      <c r="AS9" s="93" t="s">
        <v>156</v>
      </c>
      <c r="AT9" s="1325" t="s">
        <v>763</v>
      </c>
      <c r="AU9" s="1321" t="s">
        <v>41</v>
      </c>
      <c r="AV9" s="1322" t="s">
        <v>40</v>
      </c>
      <c r="AW9" s="91" t="s">
        <v>157</v>
      </c>
      <c r="AX9" s="1325" t="s">
        <v>763</v>
      </c>
      <c r="AY9" s="1322" t="s">
        <v>41</v>
      </c>
      <c r="AZ9" s="1321" t="s">
        <v>40</v>
      </c>
      <c r="BA9" s="95" t="s">
        <v>156</v>
      </c>
      <c r="BB9" s="1325" t="s">
        <v>763</v>
      </c>
      <c r="BC9" s="1326" t="s">
        <v>41</v>
      </c>
      <c r="BD9" s="1325" t="s">
        <v>40</v>
      </c>
      <c r="BE9" s="93" t="s">
        <v>157</v>
      </c>
      <c r="BF9" s="1325" t="s">
        <v>763</v>
      </c>
      <c r="BG9" s="1324" t="s">
        <v>41</v>
      </c>
      <c r="BH9" s="1324" t="s">
        <v>40</v>
      </c>
      <c r="BI9" s="93" t="s">
        <v>156</v>
      </c>
      <c r="BJ9" s="1327" t="s">
        <v>763</v>
      </c>
      <c r="BK9" s="1325" t="s">
        <v>41</v>
      </c>
      <c r="BL9" s="1326" t="s">
        <v>40</v>
      </c>
      <c r="BM9" s="91" t="s">
        <v>157</v>
      </c>
      <c r="BN9" s="1325" t="s">
        <v>763</v>
      </c>
      <c r="BO9" s="1324" t="s">
        <v>41</v>
      </c>
      <c r="BP9" s="1324" t="s">
        <v>40</v>
      </c>
      <c r="BQ9" s="91" t="s">
        <v>156</v>
      </c>
      <c r="BR9" s="1322" t="s">
        <v>763</v>
      </c>
      <c r="BS9" s="1321" t="s">
        <v>41</v>
      </c>
      <c r="BT9" s="1322" t="s">
        <v>40</v>
      </c>
      <c r="BU9" s="91" t="s">
        <v>157</v>
      </c>
      <c r="BV9" s="1325" t="s">
        <v>763</v>
      </c>
      <c r="BW9" s="1324" t="s">
        <v>41</v>
      </c>
      <c r="BX9" s="1324" t="s">
        <v>40</v>
      </c>
      <c r="BY9" s="93" t="s">
        <v>156</v>
      </c>
      <c r="BZ9" s="1325" t="s">
        <v>763</v>
      </c>
      <c r="CA9" s="1326" t="s">
        <v>41</v>
      </c>
      <c r="CB9" s="1325" t="s">
        <v>40</v>
      </c>
      <c r="CC9" s="1328" t="s">
        <v>157</v>
      </c>
      <c r="CD9" s="1325" t="s">
        <v>763</v>
      </c>
      <c r="CE9" s="1324" t="s">
        <v>41</v>
      </c>
      <c r="CF9" s="1324" t="s">
        <v>40</v>
      </c>
      <c r="CG9" s="93" t="s">
        <v>156</v>
      </c>
      <c r="CH9" s="1321" t="s">
        <v>763</v>
      </c>
      <c r="CI9" s="1322" t="s">
        <v>41</v>
      </c>
      <c r="CJ9" s="1321" t="s">
        <v>40</v>
      </c>
      <c r="CK9" s="95" t="s">
        <v>157</v>
      </c>
      <c r="CL9" s="1321" t="s">
        <v>763</v>
      </c>
      <c r="CM9" s="1322" t="s">
        <v>41</v>
      </c>
      <c r="CN9" s="1321" t="s">
        <v>40</v>
      </c>
      <c r="CO9" s="93" t="s">
        <v>156</v>
      </c>
      <c r="CP9" s="1321" t="s">
        <v>763</v>
      </c>
      <c r="CQ9" s="1322" t="s">
        <v>41</v>
      </c>
      <c r="CR9" s="1321" t="s">
        <v>40</v>
      </c>
      <c r="CS9" s="1328" t="s">
        <v>157</v>
      </c>
      <c r="CT9" s="1321" t="s">
        <v>763</v>
      </c>
      <c r="CU9" s="1324" t="s">
        <v>41</v>
      </c>
      <c r="CV9" s="1324" t="s">
        <v>40</v>
      </c>
      <c r="CW9" s="93" t="s">
        <v>156</v>
      </c>
      <c r="CX9" s="1325" t="s">
        <v>763</v>
      </c>
      <c r="CY9" s="1326" t="s">
        <v>41</v>
      </c>
      <c r="CZ9" s="1325" t="s">
        <v>40</v>
      </c>
      <c r="DA9" s="1328" t="s">
        <v>157</v>
      </c>
      <c r="DB9" s="1325" t="s">
        <v>763</v>
      </c>
      <c r="DC9" s="1324" t="s">
        <v>41</v>
      </c>
      <c r="DD9" s="1324" t="s">
        <v>40</v>
      </c>
      <c r="DE9" s="93" t="s">
        <v>156</v>
      </c>
      <c r="DF9" s="1321" t="s">
        <v>763</v>
      </c>
      <c r="DG9" s="1321" t="s">
        <v>41</v>
      </c>
      <c r="DH9" s="1322" t="s">
        <v>40</v>
      </c>
      <c r="DI9" s="91" t="s">
        <v>157</v>
      </c>
      <c r="DJ9" s="1321" t="s">
        <v>763</v>
      </c>
      <c r="DK9" s="1324" t="s">
        <v>41</v>
      </c>
      <c r="DL9" s="1324" t="s">
        <v>40</v>
      </c>
      <c r="DM9" s="93" t="s">
        <v>156</v>
      </c>
      <c r="DN9" s="1321" t="s">
        <v>763</v>
      </c>
      <c r="DO9" s="1323" t="s">
        <v>41</v>
      </c>
      <c r="DP9" s="1322" t="s">
        <v>40</v>
      </c>
      <c r="DQ9" s="91" t="s">
        <v>157</v>
      </c>
      <c r="DR9" s="1321" t="s">
        <v>763</v>
      </c>
      <c r="DS9" s="1324" t="s">
        <v>41</v>
      </c>
      <c r="DT9" s="1324" t="s">
        <v>40</v>
      </c>
      <c r="DU9" s="93" t="s">
        <v>156</v>
      </c>
      <c r="DV9" s="1325" t="s">
        <v>763</v>
      </c>
      <c r="DW9" s="1322" t="s">
        <v>41</v>
      </c>
      <c r="DX9" s="1321" t="s">
        <v>40</v>
      </c>
      <c r="DY9" s="1328" t="s">
        <v>157</v>
      </c>
      <c r="DZ9" s="1325" t="s">
        <v>763</v>
      </c>
      <c r="EA9" s="1324" t="s">
        <v>41</v>
      </c>
      <c r="EB9" s="1324" t="s">
        <v>40</v>
      </c>
      <c r="EC9" s="93" t="s">
        <v>156</v>
      </c>
      <c r="ED9" s="1324" t="s">
        <v>763</v>
      </c>
      <c r="EE9" s="1321" t="s">
        <v>41</v>
      </c>
      <c r="EF9" s="1322" t="s">
        <v>40</v>
      </c>
      <c r="EG9" s="91" t="s">
        <v>157</v>
      </c>
      <c r="EH9" s="1322" t="s">
        <v>763</v>
      </c>
      <c r="EI9" s="1321" t="s">
        <v>41</v>
      </c>
      <c r="EJ9" s="1322" t="s">
        <v>40</v>
      </c>
      <c r="EK9" s="93" t="s">
        <v>156</v>
      </c>
      <c r="EL9" s="1321" t="s">
        <v>763</v>
      </c>
      <c r="EM9" s="1322" t="s">
        <v>41</v>
      </c>
      <c r="EN9" s="1321" t="s">
        <v>40</v>
      </c>
      <c r="EO9" s="1328" t="s">
        <v>157</v>
      </c>
      <c r="EP9" s="1321" t="s">
        <v>763</v>
      </c>
      <c r="EQ9" s="1324" t="s">
        <v>41</v>
      </c>
      <c r="ER9" s="1321" t="s">
        <v>40</v>
      </c>
      <c r="ES9" s="95" t="s">
        <v>156</v>
      </c>
      <c r="ET9" s="1321" t="s">
        <v>763</v>
      </c>
      <c r="EU9" s="1322" t="s">
        <v>41</v>
      </c>
      <c r="EV9" s="1321" t="s">
        <v>40</v>
      </c>
      <c r="EW9" s="95" t="s">
        <v>157</v>
      </c>
      <c r="EX9" s="1321" t="s">
        <v>763</v>
      </c>
      <c r="EY9" s="1322" t="s">
        <v>41</v>
      </c>
      <c r="EZ9" s="1321" t="s">
        <v>40</v>
      </c>
      <c r="FA9" s="93" t="s">
        <v>156</v>
      </c>
      <c r="FB9" s="1321" t="s">
        <v>763</v>
      </c>
      <c r="FC9" s="1322" t="s">
        <v>41</v>
      </c>
      <c r="FD9" s="1321" t="s">
        <v>40</v>
      </c>
      <c r="FE9" s="1328" t="s">
        <v>157</v>
      </c>
      <c r="FF9" s="1324" t="s">
        <v>763</v>
      </c>
      <c r="FG9" s="1321" t="s">
        <v>41</v>
      </c>
      <c r="FH9" s="1322" t="s">
        <v>40</v>
      </c>
      <c r="FI9" s="93" t="s">
        <v>156</v>
      </c>
      <c r="FJ9" s="1324" t="s">
        <v>763</v>
      </c>
      <c r="FK9" s="1321" t="s">
        <v>41</v>
      </c>
      <c r="FL9" s="1323" t="s">
        <v>40</v>
      </c>
      <c r="FM9" s="1328" t="s">
        <v>157</v>
      </c>
      <c r="FN9" s="1321" t="s">
        <v>763</v>
      </c>
      <c r="FO9" s="1324" t="s">
        <v>41</v>
      </c>
      <c r="FP9" s="1324" t="s">
        <v>40</v>
      </c>
      <c r="FQ9" s="93" t="s">
        <v>156</v>
      </c>
      <c r="FR9" s="1321" t="s">
        <v>763</v>
      </c>
      <c r="FS9" s="1322" t="s">
        <v>41</v>
      </c>
      <c r="FT9" s="1321" t="s">
        <v>40</v>
      </c>
      <c r="FU9" s="95" t="s">
        <v>157</v>
      </c>
      <c r="FV9" s="1321" t="s">
        <v>763</v>
      </c>
      <c r="FW9" s="1322" t="s">
        <v>41</v>
      </c>
      <c r="FX9" s="1321" t="s">
        <v>40</v>
      </c>
      <c r="FY9" s="93" t="s">
        <v>156</v>
      </c>
      <c r="FZ9" s="1321" t="s">
        <v>763</v>
      </c>
      <c r="GA9" s="1322" t="s">
        <v>41</v>
      </c>
      <c r="GB9" s="1321" t="s">
        <v>40</v>
      </c>
      <c r="GC9" s="95" t="s">
        <v>157</v>
      </c>
      <c r="GD9" s="1321" t="s">
        <v>763</v>
      </c>
      <c r="GE9" s="1322" t="s">
        <v>41</v>
      </c>
      <c r="GF9" s="1324" t="s">
        <v>40</v>
      </c>
      <c r="GG9" s="93" t="s">
        <v>156</v>
      </c>
      <c r="GH9" s="1321" t="s">
        <v>763</v>
      </c>
      <c r="GI9" s="1322" t="s">
        <v>41</v>
      </c>
      <c r="GJ9" s="1321" t="s">
        <v>40</v>
      </c>
      <c r="GK9" s="95" t="s">
        <v>157</v>
      </c>
      <c r="GL9" s="1321" t="s">
        <v>763</v>
      </c>
      <c r="GM9" s="1322" t="s">
        <v>41</v>
      </c>
      <c r="GN9" s="1321" t="s">
        <v>40</v>
      </c>
      <c r="GO9" s="95" t="s">
        <v>156</v>
      </c>
      <c r="GP9" s="1321" t="s">
        <v>763</v>
      </c>
      <c r="GQ9" s="1322" t="s">
        <v>41</v>
      </c>
      <c r="GR9" s="1321" t="s">
        <v>40</v>
      </c>
      <c r="GS9" s="1328" t="s">
        <v>157</v>
      </c>
      <c r="GT9" s="1321" t="s">
        <v>763</v>
      </c>
      <c r="GU9" s="1324" t="s">
        <v>41</v>
      </c>
      <c r="GV9" s="1324" t="s">
        <v>40</v>
      </c>
      <c r="GW9" s="93" t="s">
        <v>156</v>
      </c>
      <c r="GX9" s="1321" t="s">
        <v>763</v>
      </c>
      <c r="GY9" s="1324" t="s">
        <v>41</v>
      </c>
      <c r="GZ9" s="1321" t="s">
        <v>40</v>
      </c>
      <c r="HA9" s="1328" t="s">
        <v>157</v>
      </c>
      <c r="HB9" s="1321" t="s">
        <v>763</v>
      </c>
      <c r="HC9" s="1324" t="s">
        <v>41</v>
      </c>
      <c r="HD9" s="1321" t="s">
        <v>40</v>
      </c>
      <c r="HE9" s="95" t="s">
        <v>156</v>
      </c>
      <c r="HF9" s="1324" t="s">
        <v>763</v>
      </c>
      <c r="HG9" s="1321" t="s">
        <v>41</v>
      </c>
      <c r="HH9" s="1323" t="s">
        <v>40</v>
      </c>
      <c r="HI9" s="1328" t="s">
        <v>157</v>
      </c>
      <c r="HJ9" s="1324" t="s">
        <v>763</v>
      </c>
      <c r="HK9" s="1321" t="s">
        <v>41</v>
      </c>
      <c r="HL9" s="1323" t="s">
        <v>40</v>
      </c>
      <c r="HM9" s="95" t="s">
        <v>156</v>
      </c>
      <c r="HN9" s="1321" t="s">
        <v>763</v>
      </c>
      <c r="HO9" s="1322" t="s">
        <v>41</v>
      </c>
      <c r="HP9" s="1321" t="s">
        <v>40</v>
      </c>
      <c r="HQ9" s="95" t="s">
        <v>157</v>
      </c>
      <c r="HR9" s="1325" t="s">
        <v>763</v>
      </c>
      <c r="HS9" s="1327" t="s">
        <v>41</v>
      </c>
      <c r="HT9" s="1325" t="s">
        <v>40</v>
      </c>
      <c r="HU9" s="95" t="s">
        <v>156</v>
      </c>
      <c r="HV9" s="1321" t="s">
        <v>763</v>
      </c>
      <c r="HW9" s="1322" t="s">
        <v>41</v>
      </c>
      <c r="HX9" s="1321" t="s">
        <v>40</v>
      </c>
      <c r="HY9" s="95" t="s">
        <v>157</v>
      </c>
      <c r="HZ9" s="1321" t="s">
        <v>763</v>
      </c>
      <c r="IA9" s="1322" t="s">
        <v>41</v>
      </c>
      <c r="IB9" s="1321" t="s">
        <v>40</v>
      </c>
      <c r="IC9" s="93" t="s">
        <v>156</v>
      </c>
      <c r="ID9" s="1321" t="s">
        <v>763</v>
      </c>
      <c r="IE9" s="1322" t="s">
        <v>41</v>
      </c>
      <c r="IF9" s="1321" t="s">
        <v>40</v>
      </c>
      <c r="IG9" s="95" t="s">
        <v>157</v>
      </c>
      <c r="IH9" s="1321" t="s">
        <v>763</v>
      </c>
      <c r="II9" s="1322" t="s">
        <v>41</v>
      </c>
      <c r="IJ9" s="1321" t="s">
        <v>40</v>
      </c>
      <c r="IK9" s="93" t="s">
        <v>156</v>
      </c>
      <c r="IL9" s="1321" t="s">
        <v>763</v>
      </c>
      <c r="IM9" s="1322" t="s">
        <v>41</v>
      </c>
      <c r="IN9" s="1321" t="s">
        <v>40</v>
      </c>
      <c r="IO9" s="1328" t="s">
        <v>157</v>
      </c>
      <c r="IP9" s="1324" t="s">
        <v>763</v>
      </c>
      <c r="IQ9" s="1321" t="s">
        <v>41</v>
      </c>
      <c r="IR9" s="1323" t="s">
        <v>40</v>
      </c>
      <c r="IS9" s="95" t="s">
        <v>156</v>
      </c>
      <c r="IT9" s="1321" t="s">
        <v>763</v>
      </c>
      <c r="IU9" s="1322" t="s">
        <v>41</v>
      </c>
      <c r="IV9" s="1321" t="s">
        <v>40</v>
      </c>
      <c r="IW9" s="1328" t="s">
        <v>157</v>
      </c>
      <c r="IX9" s="1321" t="s">
        <v>763</v>
      </c>
      <c r="IY9" s="1324" t="s">
        <v>41</v>
      </c>
      <c r="IZ9" s="1325" t="s">
        <v>40</v>
      </c>
      <c r="JA9" s="93" t="s">
        <v>156</v>
      </c>
      <c r="JB9" s="1321" t="s">
        <v>763</v>
      </c>
      <c r="JC9" s="1322" t="s">
        <v>41</v>
      </c>
      <c r="JD9" s="1321" t="s">
        <v>40</v>
      </c>
      <c r="JE9" s="1328" t="s">
        <v>157</v>
      </c>
      <c r="JF9" s="1321" t="s">
        <v>763</v>
      </c>
      <c r="JG9" s="1324" t="s">
        <v>41</v>
      </c>
      <c r="JH9" s="1324" t="s">
        <v>40</v>
      </c>
      <c r="JI9" s="93" t="s">
        <v>156</v>
      </c>
      <c r="JJ9" s="1321" t="s">
        <v>763</v>
      </c>
      <c r="JK9" s="1322" t="s">
        <v>41</v>
      </c>
      <c r="JL9" s="1321" t="s">
        <v>40</v>
      </c>
      <c r="JM9" s="95" t="s">
        <v>157</v>
      </c>
      <c r="JN9" s="1321" t="s">
        <v>763</v>
      </c>
      <c r="JO9" s="1322" t="s">
        <v>41</v>
      </c>
      <c r="JP9" s="1321" t="s">
        <v>40</v>
      </c>
    </row>
    <row r="10" spans="1:276" ht="25.5" customHeight="1" x14ac:dyDescent="0.25">
      <c r="A10" s="96" t="s">
        <v>79</v>
      </c>
      <c r="B10" s="278">
        <f>SUM(C10:E10)</f>
        <v>23801147.960000001</v>
      </c>
      <c r="C10" s="1329">
        <f t="shared" ref="C10:E27" si="0">N10-AD10</f>
        <v>22305650</v>
      </c>
      <c r="D10" s="1329">
        <f t="shared" si="0"/>
        <v>1495497.96</v>
      </c>
      <c r="E10" s="1329">
        <f>P10-AF10</f>
        <v>0</v>
      </c>
      <c r="F10" s="278">
        <f>SUM(G10:I10)</f>
        <v>750767.86</v>
      </c>
      <c r="G10" s="1329">
        <f>R10-AH10</f>
        <v>0</v>
      </c>
      <c r="H10" s="1329">
        <f>S10-AI10</f>
        <v>750767.86</v>
      </c>
      <c r="I10" s="1329">
        <f>T10-AJ10</f>
        <v>0</v>
      </c>
      <c r="J10" s="105"/>
      <c r="K10" s="1330">
        <f>M10-'Федеральные  средства  по  МО'!D11</f>
        <v>0</v>
      </c>
      <c r="L10" s="1330">
        <f>Q10-'Федеральные  средства  по  МО'!E11</f>
        <v>0</v>
      </c>
      <c r="M10" s="278">
        <f t="shared" ref="M10:M27" si="1">U10+AC10+AK10+AS10+BA10+BI10+BQ10+BY10+CO10+CW10+DE10+DM10+DU10+EC10+FY10+EK10+ES10+FA10+GG10+GO10+GW10+HM10+IS10+HE10+JA10+IK10+FI10+IC10+CG10+HU10+JI10+FQ10</f>
        <v>23801147.960000001</v>
      </c>
      <c r="N10" s="1329">
        <f t="shared" ref="N10:N27" si="2">V10+AD10+AL10+AT10+BB10+BJ10+BR10+BZ10+CP10+CX10+DF10+DN10+DV10+ED10+FZ10+EL10+ET10+FB10+GH10+GP10+GX10+HN10+IT10+HF10+JB10+IL10+FJ10+ID10+CH10+HV10+JJ10+FR10</f>
        <v>22305650</v>
      </c>
      <c r="O10" s="1329">
        <f t="shared" ref="O10:O27" si="3">W10+AE10+AM10+AU10+BC10+BK10+BS10+CA10+CQ10+CY10+DG10+DO10+DW10+EE10+GA10+EM10+EU10+FC10+GI10+GQ10+GY10+HO10+IU10+HG10+JC10+IM10+FK10+IE10+CI10+HW10+JK10+FS10</f>
        <v>1495497.96</v>
      </c>
      <c r="P10" s="1329">
        <f t="shared" ref="P10:P27" si="4">X10+AF10+AN10+AV10+BD10+BL10+BT10+CB10+CR10+CZ10+DH10+DP10+DX10+EF10+GB10+EN10+EV10+FD10+GJ10+GR10+GZ10+HP10+IV10+HH10+JD10+IN10+FL10+IF10+CJ10+HX10+JL10+FT10</f>
        <v>0</v>
      </c>
      <c r="Q10" s="278">
        <f t="shared" ref="Q10:Q27" si="5">Y10+AG10+AO10+AW10+BE10+BM10+BU10+CC10+CS10+DA10+DI10+DQ10+DY10+EG10+GC10+EO10+EW10+FE10+GK10+GS10+HA10+HQ10+IW10+HI10+JE10+IO10+FM10+IG10+CK10+HY10+JM10+FU10</f>
        <v>750767.86</v>
      </c>
      <c r="R10" s="1329">
        <f t="shared" ref="R10:R27" si="6">Z10+AH10+AP10+AX10+BF10+BN10+BV10+CD10+CT10+DB10+DJ10+DR10+DZ10+EH10+GD10+EP10+EX10+FF10+GL10+GT10+HB10+HR10+IX10+HJ10+JF10+IP10+FN10+IH10+CL10+HZ10+JN10+FV10</f>
        <v>0</v>
      </c>
      <c r="S10" s="1329">
        <f t="shared" ref="S10:S27" si="7">AA10+AI10+AQ10+AY10+BG10+BO10+BW10+CE10+CU10+DC10+DK10+DS10+EA10+EI10+GE10+EQ10+EY10+FG10+GM10+GU10+HC10+HS10+IY10+HK10+JG10+IQ10+FO10+II10+CM10+IA10+JO10+FW10</f>
        <v>750767.86</v>
      </c>
      <c r="T10" s="1329">
        <f t="shared" ref="T10:T27" si="8">AB10+AJ10+AR10+AZ10+BH10+BP10+BX10+CF10+CV10+DD10+DL10+DT10+EB10+EJ10+GF10+ER10+EZ10+FH10+GN10+GV10+HD10+HT10+IZ10+HL10+JH10+IR10+FP10+IJ10+CN10+IB10+JP10+FX10</f>
        <v>0</v>
      </c>
      <c r="U10" s="98"/>
      <c r="V10" s="1331"/>
      <c r="W10" s="1332"/>
      <c r="X10" s="1331"/>
      <c r="Y10" s="97"/>
      <c r="Z10" s="1332"/>
      <c r="AA10" s="1331"/>
      <c r="AB10" s="1332"/>
      <c r="AC10" s="98">
        <f>'Федеральные  средства  по  МО'!F11</f>
        <v>0</v>
      </c>
      <c r="AD10" s="1344">
        <f>'Проверочная  таблица'!CS12</f>
        <v>0</v>
      </c>
      <c r="AE10" s="1331">
        <f>'Проверочная  таблица'!CW12</f>
        <v>0</v>
      </c>
      <c r="AF10" s="1333">
        <f>'Проверочная  таблица'!CY12</f>
        <v>0</v>
      </c>
      <c r="AG10" s="99">
        <f>'Федеральные  средства  по  МО'!G11</f>
        <v>0</v>
      </c>
      <c r="AH10" s="1344">
        <f>'Проверочная  таблица'!CT12</f>
        <v>0</v>
      </c>
      <c r="AI10" s="1331">
        <f>'Проверочная  таблица'!CX12</f>
        <v>0</v>
      </c>
      <c r="AJ10" s="1333">
        <f>'Проверочная  таблица'!CZ12</f>
        <v>0</v>
      </c>
      <c r="AK10" s="99">
        <f>'Федеральные  средства  по  МО'!H11</f>
        <v>0</v>
      </c>
      <c r="AL10" s="1331">
        <f>AK10</f>
        <v>0</v>
      </c>
      <c r="AM10" s="1336"/>
      <c r="AN10" s="1339"/>
      <c r="AO10" s="97">
        <f>'Федеральные  средства  по  МО'!I11</f>
        <v>0</v>
      </c>
      <c r="AP10" s="1331">
        <f>AO10</f>
        <v>0</v>
      </c>
      <c r="AQ10" s="1335"/>
      <c r="AR10" s="1336"/>
      <c r="AS10" s="97">
        <f>'Федеральные  средства  по  МО'!J11</f>
        <v>0</v>
      </c>
      <c r="AT10" s="1338">
        <f t="shared" ref="AT10:AT26" si="9">AS10</f>
        <v>0</v>
      </c>
      <c r="AU10" s="1335"/>
      <c r="AV10" s="1336"/>
      <c r="AW10" s="97">
        <f>'Федеральные  средства  по  МО'!K11</f>
        <v>0</v>
      </c>
      <c r="AX10" s="1338">
        <f t="shared" ref="AX10:AX26" si="10">AW10</f>
        <v>0</v>
      </c>
      <c r="AY10" s="1336"/>
      <c r="AZ10" s="1339"/>
      <c r="BA10" s="97">
        <f>'Федеральные  средства  по  МО'!L11</f>
        <v>0</v>
      </c>
      <c r="BB10" s="1338">
        <f t="shared" ref="BB10:BB26" si="11">BA10</f>
        <v>0</v>
      </c>
      <c r="BC10" s="1336"/>
      <c r="BD10" s="1339"/>
      <c r="BE10" s="97">
        <f>'Федеральные  средства  по  МО'!M11</f>
        <v>0</v>
      </c>
      <c r="BF10" s="1338">
        <f t="shared" ref="BF10:BF26" si="12">BE10</f>
        <v>0</v>
      </c>
      <c r="BG10" s="1335"/>
      <c r="BH10" s="1336"/>
      <c r="BI10" s="97">
        <f>'Федеральные  средства  по  МО'!N11</f>
        <v>0</v>
      </c>
      <c r="BJ10" s="1338">
        <f t="shared" ref="BJ10:BJ26" si="13">BI10</f>
        <v>0</v>
      </c>
      <c r="BK10" s="1335"/>
      <c r="BL10" s="1336"/>
      <c r="BM10" s="97">
        <f>'Федеральные  средства  по  МО'!O11</f>
        <v>0</v>
      </c>
      <c r="BN10" s="1338">
        <f t="shared" ref="BN10:BN26" si="14">BM10</f>
        <v>0</v>
      </c>
      <c r="BO10" s="1335"/>
      <c r="BP10" s="1336"/>
      <c r="BQ10" s="97">
        <f>'Федеральные  средства  по  МО'!P11</f>
        <v>2305650</v>
      </c>
      <c r="BR10" s="1338">
        <f t="shared" ref="BR10:BR26" si="15">BQ10</f>
        <v>2305650</v>
      </c>
      <c r="BS10" s="1335"/>
      <c r="BT10" s="1336"/>
      <c r="BU10" s="97">
        <f>'Федеральные  средства  по  МО'!Q11</f>
        <v>0</v>
      </c>
      <c r="BV10" s="1338">
        <f t="shared" ref="BV10:BV26" si="16">BU10</f>
        <v>0</v>
      </c>
      <c r="BW10" s="1335"/>
      <c r="BX10" s="1336"/>
      <c r="BY10" s="97">
        <f>'Федеральные  средства  по  МО'!R11</f>
        <v>0</v>
      </c>
      <c r="BZ10" s="1350">
        <f t="shared" ref="BZ10:BZ26" si="17">BY10</f>
        <v>0</v>
      </c>
      <c r="CA10" s="1342"/>
      <c r="CB10" s="1351"/>
      <c r="CC10" s="97">
        <f>'Федеральные  средства  по  МО'!S11</f>
        <v>0</v>
      </c>
      <c r="CD10" s="1350">
        <f t="shared" ref="CD10:CD27" si="18">CC10</f>
        <v>0</v>
      </c>
      <c r="CE10" s="1335"/>
      <c r="CF10" s="1336"/>
      <c r="CG10" s="98">
        <f>'Федеральные  средства  по  МО'!T11</f>
        <v>20000000</v>
      </c>
      <c r="CH10" s="1331">
        <f t="shared" ref="CH10" si="19">CG10</f>
        <v>20000000</v>
      </c>
      <c r="CI10" s="1332"/>
      <c r="CJ10" s="1331"/>
      <c r="CK10" s="99">
        <f>'Федеральные  средства  по  МО'!U11</f>
        <v>0</v>
      </c>
      <c r="CL10" s="1331">
        <f t="shared" ref="CL10" si="20">CK10</f>
        <v>0</v>
      </c>
      <c r="CM10" s="1332"/>
      <c r="CN10" s="1331"/>
      <c r="CO10" s="660">
        <f>'Федеральные  средства  по  МО'!V11</f>
        <v>0</v>
      </c>
      <c r="CP10" s="1338"/>
      <c r="CQ10" s="1336"/>
      <c r="CR10" s="1339"/>
      <c r="CS10" s="97">
        <f>'Федеральные  средства  по  МО'!W11</f>
        <v>0</v>
      </c>
      <c r="CT10" s="1336"/>
      <c r="CU10" s="1335"/>
      <c r="CV10" s="1336"/>
      <c r="CW10" s="97">
        <f>'Федеральные  средства  по  МО'!X11</f>
        <v>0</v>
      </c>
      <c r="CX10" s="1350">
        <f t="shared" ref="CX10:CX27" si="21">CW10</f>
        <v>0</v>
      </c>
      <c r="CY10" s="1342"/>
      <c r="CZ10" s="1351"/>
      <c r="DA10" s="97">
        <f>'Федеральные  средства  по  МО'!Y11</f>
        <v>0</v>
      </c>
      <c r="DB10" s="1350">
        <f>DA10</f>
        <v>0</v>
      </c>
      <c r="DC10" s="1335"/>
      <c r="DD10" s="1336"/>
      <c r="DE10" s="98">
        <f>'Федеральные  средства  по  МО'!Z11</f>
        <v>0</v>
      </c>
      <c r="DF10" s="1331">
        <f>DE10</f>
        <v>0</v>
      </c>
      <c r="DG10" s="1338"/>
      <c r="DH10" s="1336"/>
      <c r="DI10" s="97">
        <f>'Федеральные  средства  по  МО'!AA11</f>
        <v>0</v>
      </c>
      <c r="DJ10" s="1331">
        <f>DI10</f>
        <v>0</v>
      </c>
      <c r="DK10" s="1335"/>
      <c r="DL10" s="1336"/>
      <c r="DM10" s="97">
        <f>'Федеральные  средства  по  МО'!AB11</f>
        <v>0</v>
      </c>
      <c r="DN10" s="1338"/>
      <c r="DO10" s="1336"/>
      <c r="DP10" s="1344">
        <f>DM10</f>
        <v>0</v>
      </c>
      <c r="DQ10" s="97">
        <f>'Федеральные  средства  по  МО'!AC11</f>
        <v>0</v>
      </c>
      <c r="DR10" s="1336"/>
      <c r="DS10" s="1335"/>
      <c r="DT10" s="1344">
        <f>DQ10</f>
        <v>0</v>
      </c>
      <c r="DU10" s="97">
        <f>'Федеральные  средства  по  МО'!AD11</f>
        <v>0</v>
      </c>
      <c r="DV10" s="1350">
        <f t="shared" ref="DV10:DV27" si="22">DU10</f>
        <v>0</v>
      </c>
      <c r="DW10" s="1336"/>
      <c r="DX10" s="1339"/>
      <c r="DY10" s="97">
        <f>'Федеральные  средства  по  МО'!AE11</f>
        <v>0</v>
      </c>
      <c r="DZ10" s="1350">
        <f t="shared" ref="DZ10:DZ27" si="23">DY10</f>
        <v>0</v>
      </c>
      <c r="EA10" s="1335"/>
      <c r="EB10" s="1336"/>
      <c r="EC10" s="98">
        <f>'Федеральные  средства  по  МО'!AH11</f>
        <v>812516.94</v>
      </c>
      <c r="ED10" s="1344"/>
      <c r="EE10" s="1331">
        <f>'Проверочная  таблица'!HA12</f>
        <v>812516.94</v>
      </c>
      <c r="EF10" s="1333"/>
      <c r="EG10" s="99">
        <f>'Федеральные  средства  по  МО'!AI11</f>
        <v>67894.23</v>
      </c>
      <c r="EH10" s="1344"/>
      <c r="EI10" s="1331">
        <f>'Проверочная  таблица'!HD12</f>
        <v>67894.23</v>
      </c>
      <c r="EJ10" s="1333"/>
      <c r="EK10" s="97">
        <f>'Федеральные  средства  по  МО'!AJ11</f>
        <v>0</v>
      </c>
      <c r="EL10" s="1338"/>
      <c r="EM10" s="1336"/>
      <c r="EN10" s="1339"/>
      <c r="EO10" s="97">
        <f>'Федеральные  средства  по  МО'!AK11</f>
        <v>0</v>
      </c>
      <c r="EP10" s="1336"/>
      <c r="EQ10" s="1335"/>
      <c r="ER10" s="1336"/>
      <c r="ES10" s="98">
        <f>'Федеральные  средства  по  МО'!AL11</f>
        <v>0</v>
      </c>
      <c r="ET10" s="1331">
        <f>'Проверочная  таблица'!HS12</f>
        <v>0</v>
      </c>
      <c r="EU10" s="1332">
        <f>'Проверочная  таблица'!IG12</f>
        <v>0</v>
      </c>
      <c r="EV10" s="1331">
        <f>'Проверочная  таблица'!IM12</f>
        <v>0</v>
      </c>
      <c r="EW10" s="99">
        <f>'Федеральные  средства  по  МО'!AM11</f>
        <v>0</v>
      </c>
      <c r="EX10" s="1331">
        <f>'Проверочная  таблица'!HV12</f>
        <v>0</v>
      </c>
      <c r="EY10" s="1332">
        <f>'Проверочная  таблица'!IJ12</f>
        <v>0</v>
      </c>
      <c r="EZ10" s="1331">
        <f>'Проверочная  таблица'!IP12</f>
        <v>0</v>
      </c>
      <c r="FA10" s="97">
        <f>'Федеральные  средства  по  МО'!AN11</f>
        <v>0</v>
      </c>
      <c r="FB10" s="1336"/>
      <c r="FC10" s="1344">
        <f>'Проверочная  таблица'!JY12</f>
        <v>0</v>
      </c>
      <c r="FD10" s="1331">
        <f>'Проверочная  таблица'!KI12</f>
        <v>0</v>
      </c>
      <c r="FE10" s="99">
        <f>'Федеральные  средства  по  МО'!AO11</f>
        <v>0</v>
      </c>
      <c r="FF10" s="1344"/>
      <c r="FG10" s="1331">
        <f>'Проверочная  таблица'!KD12</f>
        <v>0</v>
      </c>
      <c r="FH10" s="1333">
        <f>'Проверочная  таблица'!KN12</f>
        <v>0</v>
      </c>
      <c r="FI10" s="99">
        <f>'Федеральные  средства  по  МО'!AP11</f>
        <v>0</v>
      </c>
      <c r="FJ10" s="1344">
        <f>FI10</f>
        <v>0</v>
      </c>
      <c r="FK10" s="1331"/>
      <c r="FL10" s="1333"/>
      <c r="FM10" s="660">
        <f>'Федеральные  средства  по  МО'!AQ11</f>
        <v>0</v>
      </c>
      <c r="FN10" s="1344">
        <f t="shared" ref="FN10:FN27" si="24">FM10</f>
        <v>0</v>
      </c>
      <c r="FO10" s="1331"/>
      <c r="FP10" s="1332"/>
      <c r="FQ10" s="98">
        <f>'Федеральные  средства  по  МО'!AT11</f>
        <v>0</v>
      </c>
      <c r="FR10" s="1331">
        <f>'Проверочная  таблица'!IS12</f>
        <v>0</v>
      </c>
      <c r="FS10" s="1332">
        <f>'Проверочная  таблица'!JW12</f>
        <v>0</v>
      </c>
      <c r="FT10" s="1331">
        <f>'Проверочная  таблица'!KG12</f>
        <v>0</v>
      </c>
      <c r="FU10" s="99">
        <f>'Федеральные  средства  по  МО'!AU11</f>
        <v>0</v>
      </c>
      <c r="FV10" s="1331">
        <f>'Проверочная  таблица'!JC12</f>
        <v>0</v>
      </c>
      <c r="FW10" s="1332">
        <f>'Проверочная  таблица'!KB12</f>
        <v>0</v>
      </c>
      <c r="FX10" s="1331">
        <f>'Проверочная  таблица'!KL12</f>
        <v>0</v>
      </c>
      <c r="FY10" s="99">
        <f>'Федеральные  средства  по  МО'!AR11</f>
        <v>0</v>
      </c>
      <c r="FZ10" s="1331">
        <f>FY10</f>
        <v>0</v>
      </c>
      <c r="GA10" s="1332"/>
      <c r="GB10" s="1344"/>
      <c r="GC10" s="97">
        <f>'Федеральные  средства  по  МО'!AS11</f>
        <v>0</v>
      </c>
      <c r="GD10" s="1331">
        <f>GC10</f>
        <v>0</v>
      </c>
      <c r="GE10" s="1333"/>
      <c r="GF10" s="1336"/>
      <c r="GG10" s="660">
        <f>'Федеральные  средства  по  МО'!AV11</f>
        <v>0</v>
      </c>
      <c r="GH10" s="1338">
        <f>GG10</f>
        <v>0</v>
      </c>
      <c r="GI10" s="1336"/>
      <c r="GJ10" s="1339"/>
      <c r="GK10" s="97">
        <f>'Федеральные  средства  по  МО'!AW11</f>
        <v>0</v>
      </c>
      <c r="GL10" s="1338">
        <f t="shared" ref="GL10:GL27" si="25">GK10</f>
        <v>0</v>
      </c>
      <c r="GM10" s="1336"/>
      <c r="GN10" s="1335"/>
      <c r="GO10" s="1334"/>
      <c r="GP10" s="1335"/>
      <c r="GQ10" s="1336"/>
      <c r="GR10" s="1335"/>
      <c r="GS10" s="1337"/>
      <c r="GT10" s="1336"/>
      <c r="GU10" s="1335"/>
      <c r="GV10" s="1336"/>
      <c r="GW10" s="98">
        <f>'Федеральные  средства  по  МО'!AX11</f>
        <v>0</v>
      </c>
      <c r="GX10" s="1344"/>
      <c r="GY10" s="1331"/>
      <c r="GZ10" s="1333">
        <f>'Проверочная  таблица'!MA12</f>
        <v>0</v>
      </c>
      <c r="HA10" s="99">
        <f>'Федеральные  средства  по  МО'!AY11</f>
        <v>0</v>
      </c>
      <c r="HB10" s="1344"/>
      <c r="HC10" s="1331"/>
      <c r="HD10" s="1333">
        <f>'Проверочная  таблица'!ME12</f>
        <v>0</v>
      </c>
      <c r="HE10" s="99">
        <f>'Федеральные  средства  по  МО'!BD11</f>
        <v>0</v>
      </c>
      <c r="HF10" s="1344"/>
      <c r="HG10" s="1331">
        <f>HE10</f>
        <v>0</v>
      </c>
      <c r="HH10" s="1333"/>
      <c r="HI10" s="660">
        <f>'Федеральные  средства  по  МО'!BE11</f>
        <v>0</v>
      </c>
      <c r="HJ10" s="1344"/>
      <c r="HK10" s="1331">
        <f>HI10</f>
        <v>0</v>
      </c>
      <c r="HL10" s="1333"/>
      <c r="HM10" s="98">
        <f>'Федеральные  средства  по  МО'!AZ11</f>
        <v>682981.02</v>
      </c>
      <c r="HN10" s="1344"/>
      <c r="HO10" s="1331">
        <f>HM10</f>
        <v>682981.02</v>
      </c>
      <c r="HP10" s="1333"/>
      <c r="HQ10" s="660">
        <f>'Федеральные  средства  по  МО'!BA11</f>
        <v>682873.63</v>
      </c>
      <c r="HR10" s="1344"/>
      <c r="HS10" s="1331">
        <f>HQ10</f>
        <v>682873.63</v>
      </c>
      <c r="HT10" s="1332"/>
      <c r="HU10" s="98">
        <f>'Федеральные  средства  по  МО'!AF11</f>
        <v>0</v>
      </c>
      <c r="HV10" s="1331"/>
      <c r="HW10" s="1332">
        <f>HU10</f>
        <v>0</v>
      </c>
      <c r="HX10" s="1331"/>
      <c r="HY10" s="99">
        <f>'Федеральные  средства  по  МО'!AG11</f>
        <v>0</v>
      </c>
      <c r="HZ10" s="1331"/>
      <c r="IA10" s="1332">
        <f>HY10</f>
        <v>0</v>
      </c>
      <c r="IB10" s="1331"/>
      <c r="IC10" s="99">
        <f>'Федеральные  средства  по  МО'!BH11</f>
        <v>0</v>
      </c>
      <c r="ID10" s="1331">
        <f>'Проверочная  таблица'!NU12</f>
        <v>0</v>
      </c>
      <c r="IE10" s="1332"/>
      <c r="IF10" s="1331"/>
      <c r="IG10" s="99">
        <f>'Федеральные  средства  по  МО'!BI11</f>
        <v>0</v>
      </c>
      <c r="IH10" s="1331">
        <f>'Проверочная  таблица'!OB12</f>
        <v>0</v>
      </c>
      <c r="II10" s="1332"/>
      <c r="IJ10" s="1331"/>
      <c r="IK10" s="99">
        <f>'Федеральные  средства  по  МО'!BJ11</f>
        <v>0</v>
      </c>
      <c r="IL10" s="1344">
        <f>'Проверочная  таблица'!NW12</f>
        <v>0</v>
      </c>
      <c r="IM10" s="1331">
        <f>'Проверочная  таблица'!OY12</f>
        <v>0</v>
      </c>
      <c r="IN10" s="1333"/>
      <c r="IO10" s="99">
        <f>'Федеральные  средства  по  МО'!BK11</f>
        <v>0</v>
      </c>
      <c r="IP10" s="1344">
        <f>'Проверочная  таблица'!OD12</f>
        <v>0</v>
      </c>
      <c r="IQ10" s="1331">
        <f>'Проверочная  таблица'!OR12</f>
        <v>0</v>
      </c>
      <c r="IR10" s="1333"/>
      <c r="IS10" s="660">
        <f>'Федеральные  средства  по  МО'!BB11</f>
        <v>0</v>
      </c>
      <c r="IT10" s="1338"/>
      <c r="IU10" s="1336"/>
      <c r="IV10" s="1339"/>
      <c r="IW10" s="97">
        <f>'Федеральные  средства  по  МО'!BC11</f>
        <v>0</v>
      </c>
      <c r="IX10" s="1336"/>
      <c r="IY10" s="1335"/>
      <c r="IZ10" s="1336"/>
      <c r="JA10" s="97">
        <f>'Федеральные  средства  по  МО'!BF11</f>
        <v>0</v>
      </c>
      <c r="JB10" s="1338"/>
      <c r="JC10" s="1336"/>
      <c r="JD10" s="1339"/>
      <c r="JE10" s="97">
        <f>'Федеральные  средства  по  МО'!BG11</f>
        <v>0</v>
      </c>
      <c r="JF10" s="1336"/>
      <c r="JG10" s="1335"/>
      <c r="JH10" s="1336"/>
      <c r="JI10" s="98">
        <f>'Федеральные  средства  по  МО'!BL11</f>
        <v>0</v>
      </c>
      <c r="JJ10" s="1331">
        <f>'Проверочная  таблица'!PW12</f>
        <v>0</v>
      </c>
      <c r="JK10" s="1332">
        <f>'Проверочная  таблица'!QI12</f>
        <v>0</v>
      </c>
      <c r="JL10" s="1331"/>
      <c r="JM10" s="99">
        <f>'Федеральные  средства  по  МО'!BM11</f>
        <v>0</v>
      </c>
      <c r="JN10" s="1331">
        <f>'Проверочная  таблица'!PZ12</f>
        <v>0</v>
      </c>
      <c r="JO10" s="1332">
        <f>'Проверочная  таблица'!QL12</f>
        <v>0</v>
      </c>
      <c r="JP10" s="1331"/>
    </row>
    <row r="11" spans="1:276" ht="25.5" customHeight="1" x14ac:dyDescent="0.25">
      <c r="A11" s="102" t="s">
        <v>80</v>
      </c>
      <c r="B11" s="278">
        <f t="shared" ref="B11:B27" si="26">SUM(C11:E11)</f>
        <v>209270935.98000002</v>
      </c>
      <c r="C11" s="1329">
        <f t="shared" si="0"/>
        <v>190567200</v>
      </c>
      <c r="D11" s="1329">
        <f t="shared" si="0"/>
        <v>2025092.52</v>
      </c>
      <c r="E11" s="1329">
        <f t="shared" si="0"/>
        <v>16678643.459999993</v>
      </c>
      <c r="F11" s="278">
        <f t="shared" ref="F11:F27" si="27">SUM(G11:I11)</f>
        <v>169535043.78999999</v>
      </c>
      <c r="G11" s="1329">
        <f t="shared" ref="G11:I27" si="28">R11-AH11</f>
        <v>150831310.75999999</v>
      </c>
      <c r="H11" s="1329">
        <f t="shared" si="28"/>
        <v>2025089.57</v>
      </c>
      <c r="I11" s="1329">
        <f t="shared" si="28"/>
        <v>16678643.460000001</v>
      </c>
      <c r="J11" s="105"/>
      <c r="K11" s="1330">
        <f>M11-'Федеральные  средства  по  МО'!D12</f>
        <v>0</v>
      </c>
      <c r="L11" s="1330">
        <f>Q11-'Федеральные  средства  по  МО'!E12</f>
        <v>0</v>
      </c>
      <c r="M11" s="278">
        <f t="shared" si="1"/>
        <v>280201547.51999998</v>
      </c>
      <c r="N11" s="1329">
        <f t="shared" si="2"/>
        <v>190567200</v>
      </c>
      <c r="O11" s="1329">
        <f t="shared" si="3"/>
        <v>2025092.52</v>
      </c>
      <c r="P11" s="1329">
        <f t="shared" si="4"/>
        <v>87609255</v>
      </c>
      <c r="Q11" s="278">
        <f t="shared" si="5"/>
        <v>235361065.85999998</v>
      </c>
      <c r="R11" s="1329">
        <f t="shared" si="6"/>
        <v>150831310.75999999</v>
      </c>
      <c r="S11" s="1329">
        <f t="shared" si="7"/>
        <v>2025089.57</v>
      </c>
      <c r="T11" s="1329">
        <f t="shared" si="8"/>
        <v>82504665.530000001</v>
      </c>
      <c r="U11" s="103"/>
      <c r="V11" s="1345"/>
      <c r="W11" s="1346"/>
      <c r="X11" s="1345"/>
      <c r="Y11" s="101"/>
      <c r="Z11" s="1346"/>
      <c r="AA11" s="1345"/>
      <c r="AB11" s="1346"/>
      <c r="AC11" s="103">
        <f>'Федеральные  средства  по  МО'!F12</f>
        <v>70930611.540000007</v>
      </c>
      <c r="AD11" s="1348">
        <f>'Проверочная  таблица'!CS13</f>
        <v>0</v>
      </c>
      <c r="AE11" s="1345">
        <f>'Проверочная  таблица'!CW13</f>
        <v>0</v>
      </c>
      <c r="AF11" s="1347">
        <f>'Проверочная  таблица'!CY13</f>
        <v>70930611.540000007</v>
      </c>
      <c r="AG11" s="104">
        <f>'Федеральные  средства  по  МО'!G12</f>
        <v>65826022.07</v>
      </c>
      <c r="AH11" s="1348">
        <f>'Проверочная  таблица'!CT13</f>
        <v>0</v>
      </c>
      <c r="AI11" s="1345">
        <f>'Проверочная  таблица'!CX13</f>
        <v>0</v>
      </c>
      <c r="AJ11" s="1347">
        <f>'Проверочная  таблица'!CZ13</f>
        <v>65826022.07</v>
      </c>
      <c r="AK11" s="104">
        <f>'Федеральные  средства  по  МО'!H12</f>
        <v>0</v>
      </c>
      <c r="AL11" s="1345">
        <f t="shared" ref="AL11:AL27" si="29">AK11</f>
        <v>0</v>
      </c>
      <c r="AM11" s="1346"/>
      <c r="AN11" s="1348"/>
      <c r="AO11" s="101">
        <f>'Федеральные  средства  по  МО'!I12</f>
        <v>0</v>
      </c>
      <c r="AP11" s="1345">
        <f t="shared" ref="AP11:AP27" si="30">AO11</f>
        <v>0</v>
      </c>
      <c r="AQ11" s="1345"/>
      <c r="AR11" s="1346"/>
      <c r="AS11" s="101">
        <f>'Федеральные  средства  по  МО'!J12</f>
        <v>0</v>
      </c>
      <c r="AT11" s="1347">
        <f t="shared" si="9"/>
        <v>0</v>
      </c>
      <c r="AU11" s="1345"/>
      <c r="AV11" s="1346"/>
      <c r="AW11" s="101">
        <f>'Федеральные  средства  по  МО'!K12</f>
        <v>0</v>
      </c>
      <c r="AX11" s="1347">
        <f t="shared" si="10"/>
        <v>0</v>
      </c>
      <c r="AY11" s="1346"/>
      <c r="AZ11" s="1348"/>
      <c r="BA11" s="101">
        <f>'Федеральные  средства  по  МО'!L12</f>
        <v>0</v>
      </c>
      <c r="BB11" s="1347">
        <f t="shared" si="11"/>
        <v>0</v>
      </c>
      <c r="BC11" s="1346"/>
      <c r="BD11" s="1348"/>
      <c r="BE11" s="101">
        <f>'Федеральные  средства  по  МО'!M12</f>
        <v>0</v>
      </c>
      <c r="BF11" s="1347">
        <f t="shared" si="12"/>
        <v>0</v>
      </c>
      <c r="BG11" s="1345"/>
      <c r="BH11" s="1346"/>
      <c r="BI11" s="101">
        <f>'Федеральные  средства  по  МО'!N12</f>
        <v>0</v>
      </c>
      <c r="BJ11" s="1347">
        <f t="shared" si="13"/>
        <v>0</v>
      </c>
      <c r="BK11" s="1345"/>
      <c r="BL11" s="1346"/>
      <c r="BM11" s="101">
        <f>'Федеральные  средства  по  МО'!O12</f>
        <v>0</v>
      </c>
      <c r="BN11" s="1347">
        <f t="shared" si="14"/>
        <v>0</v>
      </c>
      <c r="BO11" s="1345"/>
      <c r="BP11" s="1346"/>
      <c r="BQ11" s="101">
        <f>'Федеральные  средства  по  МО'!P12</f>
        <v>0</v>
      </c>
      <c r="BR11" s="1347">
        <f t="shared" si="15"/>
        <v>0</v>
      </c>
      <c r="BS11" s="1345"/>
      <c r="BT11" s="1346"/>
      <c r="BU11" s="101">
        <f>'Федеральные  средства  по  МО'!Q12</f>
        <v>0</v>
      </c>
      <c r="BV11" s="1347">
        <f t="shared" si="16"/>
        <v>0</v>
      </c>
      <c r="BW11" s="1345"/>
      <c r="BX11" s="1346"/>
      <c r="BY11" s="101">
        <f>'Федеральные  средства  по  МО'!R12</f>
        <v>0</v>
      </c>
      <c r="BZ11" s="1347">
        <f t="shared" si="17"/>
        <v>0</v>
      </c>
      <c r="CA11" s="1346"/>
      <c r="CB11" s="1348"/>
      <c r="CC11" s="101">
        <f>'Федеральные  средства  по  МО'!S12</f>
        <v>0</v>
      </c>
      <c r="CD11" s="1347">
        <f t="shared" si="18"/>
        <v>0</v>
      </c>
      <c r="CE11" s="1345"/>
      <c r="CF11" s="1346"/>
      <c r="CG11" s="103">
        <f>'Федеральные  средства  по  МО'!T12</f>
        <v>0</v>
      </c>
      <c r="CH11" s="1345">
        <f t="shared" ref="CH11:CH27" si="31">CG11</f>
        <v>0</v>
      </c>
      <c r="CI11" s="1346"/>
      <c r="CJ11" s="1345"/>
      <c r="CK11" s="104">
        <f>'Федеральные  средства  по  МО'!U12</f>
        <v>0</v>
      </c>
      <c r="CL11" s="1345">
        <f t="shared" ref="CL11:CL27" si="32">CK11</f>
        <v>0</v>
      </c>
      <c r="CM11" s="1346"/>
      <c r="CN11" s="1345"/>
      <c r="CO11" s="100">
        <f>'Федеральные  средства  по  МО'!V12</f>
        <v>0</v>
      </c>
      <c r="CP11" s="1347"/>
      <c r="CQ11" s="1346"/>
      <c r="CR11" s="1348"/>
      <c r="CS11" s="101">
        <f>'Федеральные  средства  по  МО'!W12</f>
        <v>0</v>
      </c>
      <c r="CT11" s="1346"/>
      <c r="CU11" s="1345"/>
      <c r="CV11" s="1346"/>
      <c r="CW11" s="101">
        <f>'Федеральные  средства  по  МО'!X12</f>
        <v>0</v>
      </c>
      <c r="CX11" s="1347">
        <f t="shared" si="21"/>
        <v>0</v>
      </c>
      <c r="CY11" s="1346"/>
      <c r="CZ11" s="1348"/>
      <c r="DA11" s="101">
        <f>'Федеральные  средства  по  МО'!Y12</f>
        <v>0</v>
      </c>
      <c r="DB11" s="1347">
        <f t="shared" ref="DB11:DB27" si="33">DA11</f>
        <v>0</v>
      </c>
      <c r="DC11" s="1345"/>
      <c r="DD11" s="1346"/>
      <c r="DE11" s="103">
        <f>'Федеральные  средства  по  МО'!Z12</f>
        <v>0</v>
      </c>
      <c r="DF11" s="1345">
        <f t="shared" ref="DF11:DF27" si="34">DE11</f>
        <v>0</v>
      </c>
      <c r="DG11" s="1347"/>
      <c r="DH11" s="1346"/>
      <c r="DI11" s="101">
        <f>'Федеральные  средства  по  МО'!AA12</f>
        <v>0</v>
      </c>
      <c r="DJ11" s="1345">
        <f t="shared" ref="DJ11:DJ27" si="35">DI11</f>
        <v>0</v>
      </c>
      <c r="DK11" s="1345"/>
      <c r="DL11" s="1346"/>
      <c r="DM11" s="101">
        <f>'Федеральные  средства  по  МО'!AB12</f>
        <v>0</v>
      </c>
      <c r="DN11" s="1347"/>
      <c r="DO11" s="1346"/>
      <c r="DP11" s="1348">
        <f t="shared" ref="DP11:DP27" si="36">DM11</f>
        <v>0</v>
      </c>
      <c r="DQ11" s="101">
        <f>'Федеральные  средства  по  МО'!AC12</f>
        <v>0</v>
      </c>
      <c r="DR11" s="1346"/>
      <c r="DS11" s="1345"/>
      <c r="DT11" s="1348">
        <f t="shared" ref="DT11:DT27" si="37">DQ11</f>
        <v>0</v>
      </c>
      <c r="DU11" s="101">
        <f>'Федеральные  средства  по  МО'!AD12</f>
        <v>0</v>
      </c>
      <c r="DV11" s="1347">
        <f t="shared" si="22"/>
        <v>0</v>
      </c>
      <c r="DW11" s="1346"/>
      <c r="DX11" s="1348"/>
      <c r="DY11" s="101">
        <f>'Федеральные  средства  по  МО'!AE12</f>
        <v>0</v>
      </c>
      <c r="DZ11" s="1347">
        <f t="shared" si="23"/>
        <v>0</v>
      </c>
      <c r="EA11" s="1345"/>
      <c r="EB11" s="1346"/>
      <c r="EC11" s="103">
        <f>'Федеральные  средства  по  МО'!AH12</f>
        <v>0</v>
      </c>
      <c r="ED11" s="1348"/>
      <c r="EE11" s="1345">
        <f>'Проверочная  таблица'!HA13</f>
        <v>0</v>
      </c>
      <c r="EF11" s="1347"/>
      <c r="EG11" s="104">
        <f>'Федеральные  средства  по  МО'!AI12</f>
        <v>0</v>
      </c>
      <c r="EH11" s="1348"/>
      <c r="EI11" s="1345">
        <f>'Проверочная  таблица'!HD13</f>
        <v>0</v>
      </c>
      <c r="EJ11" s="1347"/>
      <c r="EK11" s="101">
        <f>'Федеральные  средства  по  МО'!AJ12</f>
        <v>0</v>
      </c>
      <c r="EL11" s="1347"/>
      <c r="EM11" s="1346"/>
      <c r="EN11" s="1348"/>
      <c r="EO11" s="101">
        <f>'Федеральные  средства  по  МО'!AK12</f>
        <v>0</v>
      </c>
      <c r="EP11" s="1346"/>
      <c r="EQ11" s="1345"/>
      <c r="ER11" s="1346"/>
      <c r="ES11" s="103">
        <f>'Федеральные  средства  по  МО'!AL12</f>
        <v>1395683.84</v>
      </c>
      <c r="ET11" s="1345">
        <f>'Проверочная  таблица'!HS13</f>
        <v>0</v>
      </c>
      <c r="EU11" s="1346">
        <f>'Проверочная  таблица'!IG13</f>
        <v>1247040.3800000001</v>
      </c>
      <c r="EV11" s="1345">
        <f>'Проверочная  таблица'!IM13</f>
        <v>148643.46</v>
      </c>
      <c r="EW11" s="104">
        <f>'Федеральные  средства  по  МО'!AM12</f>
        <v>1395683.84</v>
      </c>
      <c r="EX11" s="1345">
        <f>'Проверочная  таблица'!HV13</f>
        <v>0</v>
      </c>
      <c r="EY11" s="1346">
        <f>'Проверочная  таблица'!IJ13</f>
        <v>1247040.3800000001</v>
      </c>
      <c r="EZ11" s="1345">
        <f>'Проверочная  таблица'!IP13</f>
        <v>148643.46</v>
      </c>
      <c r="FA11" s="101">
        <f>'Федеральные  средства  по  МО'!AN12</f>
        <v>0</v>
      </c>
      <c r="FB11" s="1346"/>
      <c r="FC11" s="1348">
        <f>'Проверочная  таблица'!JY13</f>
        <v>0</v>
      </c>
      <c r="FD11" s="1345">
        <f>'Проверочная  таблица'!KI13</f>
        <v>0</v>
      </c>
      <c r="FE11" s="104">
        <f>'Федеральные  средства  по  МО'!AO12</f>
        <v>0</v>
      </c>
      <c r="FF11" s="1348"/>
      <c r="FG11" s="1345">
        <f>'Проверочная  таблица'!KD13</f>
        <v>0</v>
      </c>
      <c r="FH11" s="1347">
        <f>'Проверочная  таблица'!KN13</f>
        <v>0</v>
      </c>
      <c r="FI11" s="104">
        <f>'Федеральные  средства  по  МО'!AP12</f>
        <v>0</v>
      </c>
      <c r="FJ11" s="1348">
        <f t="shared" ref="FJ11:FJ27" si="38">FI11</f>
        <v>0</v>
      </c>
      <c r="FK11" s="1345"/>
      <c r="FL11" s="1347"/>
      <c r="FM11" s="100">
        <f>'Федеральные  средства  по  МО'!AQ12</f>
        <v>0</v>
      </c>
      <c r="FN11" s="1348">
        <f t="shared" si="24"/>
        <v>0</v>
      </c>
      <c r="FO11" s="1345"/>
      <c r="FP11" s="1346"/>
      <c r="FQ11" s="103">
        <f>'Федеральные  средства  по  МО'!AT12</f>
        <v>0</v>
      </c>
      <c r="FR11" s="1345">
        <f>'Проверочная  таблица'!IS13</f>
        <v>0</v>
      </c>
      <c r="FS11" s="1346">
        <f>'Проверочная  таблица'!JW13</f>
        <v>0</v>
      </c>
      <c r="FT11" s="1345">
        <f>'Проверочная  таблица'!KG13</f>
        <v>0</v>
      </c>
      <c r="FU11" s="104">
        <f>'Федеральные  средства  по  МО'!AU12</f>
        <v>0</v>
      </c>
      <c r="FV11" s="1345">
        <f>'Проверочная  таблица'!JC13</f>
        <v>0</v>
      </c>
      <c r="FW11" s="1346">
        <f>'Проверочная  таблица'!KB13</f>
        <v>0</v>
      </c>
      <c r="FX11" s="1345">
        <f>'Проверочная  таблица'!KL13</f>
        <v>0</v>
      </c>
      <c r="FY11" s="104">
        <f>'Федеральные  средства  по  МО'!AR12</f>
        <v>0</v>
      </c>
      <c r="FZ11" s="1345">
        <f t="shared" ref="FZ11:FZ27" si="39">FY11</f>
        <v>0</v>
      </c>
      <c r="GA11" s="1346"/>
      <c r="GB11" s="1348"/>
      <c r="GC11" s="101">
        <f>'Федеральные  средства  по  МО'!AS12</f>
        <v>0</v>
      </c>
      <c r="GD11" s="1345">
        <f t="shared" ref="GD11:GD27" si="40">GC11</f>
        <v>0</v>
      </c>
      <c r="GE11" s="1347"/>
      <c r="GF11" s="1346"/>
      <c r="GG11" s="100">
        <f>'Федеральные  средства  по  МО'!AV12</f>
        <v>190567200</v>
      </c>
      <c r="GH11" s="1347">
        <f t="shared" ref="GH11:GH27" si="41">GG11</f>
        <v>190567200</v>
      </c>
      <c r="GI11" s="1346"/>
      <c r="GJ11" s="1348"/>
      <c r="GK11" s="101">
        <f>'Федеральные  средства  по  МО'!AW12</f>
        <v>150831310.75999999</v>
      </c>
      <c r="GL11" s="1347">
        <f t="shared" si="25"/>
        <v>150831310.75999999</v>
      </c>
      <c r="GM11" s="1346"/>
      <c r="GN11" s="1345"/>
      <c r="GO11" s="104"/>
      <c r="GP11" s="1345"/>
      <c r="GQ11" s="1346"/>
      <c r="GR11" s="1345"/>
      <c r="GS11" s="100"/>
      <c r="GT11" s="1346"/>
      <c r="GU11" s="1345"/>
      <c r="GV11" s="1346"/>
      <c r="GW11" s="103">
        <f>'Федеральные  средства  по  МО'!AX12</f>
        <v>16530000</v>
      </c>
      <c r="GX11" s="1348"/>
      <c r="GY11" s="1345"/>
      <c r="GZ11" s="1347">
        <f>'Проверочная  таблица'!MA13</f>
        <v>16530000</v>
      </c>
      <c r="HA11" s="104">
        <f>'Федеральные  средства  по  МО'!AY12</f>
        <v>16530000</v>
      </c>
      <c r="HB11" s="1348"/>
      <c r="HC11" s="1345"/>
      <c r="HD11" s="1347">
        <f>'Проверочная  таблица'!ME13</f>
        <v>16530000</v>
      </c>
      <c r="HE11" s="104">
        <f>'Федеральные  средства  по  МО'!BD12</f>
        <v>0</v>
      </c>
      <c r="HF11" s="1348"/>
      <c r="HG11" s="1345">
        <f t="shared" ref="HG11:HG27" si="42">HE11</f>
        <v>0</v>
      </c>
      <c r="HH11" s="1347"/>
      <c r="HI11" s="100">
        <f>'Федеральные  средства  по  МО'!BE12</f>
        <v>0</v>
      </c>
      <c r="HJ11" s="1348"/>
      <c r="HK11" s="1345">
        <f t="shared" ref="HK11:HK27" si="43">HI11</f>
        <v>0</v>
      </c>
      <c r="HL11" s="1347"/>
      <c r="HM11" s="103">
        <f>'Федеральные  средства  по  МО'!AZ12</f>
        <v>778052.14</v>
      </c>
      <c r="HN11" s="1348"/>
      <c r="HO11" s="1345">
        <f t="shared" ref="HO11:HO27" si="44">HM11</f>
        <v>778052.14</v>
      </c>
      <c r="HP11" s="1347"/>
      <c r="HQ11" s="100">
        <f>'Федеральные  средства  по  МО'!BA12</f>
        <v>778049.19</v>
      </c>
      <c r="HR11" s="1348"/>
      <c r="HS11" s="1345">
        <f t="shared" ref="HS11:HS27" si="45">HQ11</f>
        <v>778049.19</v>
      </c>
      <c r="HT11" s="1346"/>
      <c r="HU11" s="103">
        <f>'Федеральные  средства  по  МО'!AF12</f>
        <v>0</v>
      </c>
      <c r="HV11" s="1345"/>
      <c r="HW11" s="1346">
        <f t="shared" ref="HW11:HW27" si="46">HU11</f>
        <v>0</v>
      </c>
      <c r="HX11" s="1345"/>
      <c r="HY11" s="104">
        <f>'Федеральные  средства  по  МО'!AG12</f>
        <v>0</v>
      </c>
      <c r="HZ11" s="1345"/>
      <c r="IA11" s="1346">
        <f t="shared" ref="IA11:IA27" si="47">HY11</f>
        <v>0</v>
      </c>
      <c r="IB11" s="1345"/>
      <c r="IC11" s="104">
        <f>'Федеральные  средства  по  МО'!BH12</f>
        <v>0</v>
      </c>
      <c r="ID11" s="1345">
        <f>'Проверочная  таблица'!NU13</f>
        <v>0</v>
      </c>
      <c r="IE11" s="1346"/>
      <c r="IF11" s="1345"/>
      <c r="IG11" s="104">
        <f>'Федеральные  средства  по  МО'!BI12</f>
        <v>0</v>
      </c>
      <c r="IH11" s="1345">
        <f>'Проверочная  таблица'!OB13</f>
        <v>0</v>
      </c>
      <c r="II11" s="1346"/>
      <c r="IJ11" s="1345"/>
      <c r="IK11" s="104">
        <f>'Федеральные  средства  по  МО'!BJ12</f>
        <v>0</v>
      </c>
      <c r="IL11" s="1348">
        <f>'Проверочная  таблица'!NW13</f>
        <v>0</v>
      </c>
      <c r="IM11" s="1345">
        <f>'Проверочная  таблица'!OY13</f>
        <v>0</v>
      </c>
      <c r="IN11" s="1347"/>
      <c r="IO11" s="104">
        <f>'Федеральные  средства  по  МО'!BK12</f>
        <v>0</v>
      </c>
      <c r="IP11" s="1348">
        <f>'Проверочная  таблица'!OD13</f>
        <v>0</v>
      </c>
      <c r="IQ11" s="1345">
        <f>'Проверочная  таблица'!OR13</f>
        <v>0</v>
      </c>
      <c r="IR11" s="1347"/>
      <c r="IS11" s="100">
        <f>'Федеральные  средства  по  МО'!BB12</f>
        <v>0</v>
      </c>
      <c r="IT11" s="1347"/>
      <c r="IU11" s="1346"/>
      <c r="IV11" s="1348"/>
      <c r="IW11" s="101">
        <f>'Федеральные  средства  по  МО'!BC12</f>
        <v>0</v>
      </c>
      <c r="IX11" s="1346"/>
      <c r="IY11" s="1345"/>
      <c r="IZ11" s="1346"/>
      <c r="JA11" s="101">
        <f>'Федеральные  средства  по  МО'!BF12</f>
        <v>0</v>
      </c>
      <c r="JB11" s="1347"/>
      <c r="JC11" s="1346"/>
      <c r="JD11" s="1348"/>
      <c r="JE11" s="101">
        <f>'Федеральные  средства  по  МО'!BG12</f>
        <v>0</v>
      </c>
      <c r="JF11" s="1346"/>
      <c r="JG11" s="1345"/>
      <c r="JH11" s="1346"/>
      <c r="JI11" s="103">
        <f>'Федеральные  средства  по  МО'!BL12</f>
        <v>0</v>
      </c>
      <c r="JJ11" s="1345">
        <f>'Проверочная  таблица'!PW13</f>
        <v>0</v>
      </c>
      <c r="JK11" s="1346">
        <f>'Проверочная  таблица'!QI13</f>
        <v>0</v>
      </c>
      <c r="JL11" s="1345"/>
      <c r="JM11" s="104">
        <f>'Федеральные  средства  по  МО'!BM12</f>
        <v>0</v>
      </c>
      <c r="JN11" s="1345">
        <f>'Проверочная  таблица'!PZ13</f>
        <v>0</v>
      </c>
      <c r="JO11" s="1346">
        <f>'Проверочная  таблица'!QL13</f>
        <v>0</v>
      </c>
      <c r="JP11" s="1345"/>
    </row>
    <row r="12" spans="1:276" ht="25.5" customHeight="1" x14ac:dyDescent="0.25">
      <c r="A12" s="105" t="s">
        <v>81</v>
      </c>
      <c r="B12" s="278">
        <f t="shared" si="26"/>
        <v>65455356.25999999</v>
      </c>
      <c r="C12" s="1329">
        <f t="shared" si="0"/>
        <v>32241611.289999999</v>
      </c>
      <c r="D12" s="1329">
        <f t="shared" si="0"/>
        <v>8631462.0899999999</v>
      </c>
      <c r="E12" s="1329">
        <f t="shared" si="0"/>
        <v>24582282.879999999</v>
      </c>
      <c r="F12" s="278">
        <f t="shared" si="27"/>
        <v>50201576.959999993</v>
      </c>
      <c r="G12" s="1329">
        <f t="shared" si="28"/>
        <v>32241611.289999999</v>
      </c>
      <c r="H12" s="1329">
        <f t="shared" si="28"/>
        <v>1257383.3799999999</v>
      </c>
      <c r="I12" s="1329">
        <f t="shared" si="28"/>
        <v>16702582.289999999</v>
      </c>
      <c r="J12" s="105"/>
      <c r="K12" s="1330">
        <f>M12-'Федеральные  средства  по  МО'!D13</f>
        <v>0</v>
      </c>
      <c r="L12" s="1330">
        <f>Q12-'Федеральные  средства  по  МО'!E13</f>
        <v>0</v>
      </c>
      <c r="M12" s="278">
        <f t="shared" si="1"/>
        <v>92422774.439999998</v>
      </c>
      <c r="N12" s="1329">
        <f t="shared" si="2"/>
        <v>32241611.289999999</v>
      </c>
      <c r="O12" s="1329">
        <f t="shared" si="3"/>
        <v>12919858.640000001</v>
      </c>
      <c r="P12" s="1329">
        <f t="shared" si="4"/>
        <v>47261304.509999998</v>
      </c>
      <c r="Q12" s="278">
        <f t="shared" si="5"/>
        <v>70297785</v>
      </c>
      <c r="R12" s="1329">
        <f t="shared" si="6"/>
        <v>32241611.289999999</v>
      </c>
      <c r="S12" s="1329">
        <f t="shared" si="7"/>
        <v>4688100.63</v>
      </c>
      <c r="T12" s="1329">
        <f t="shared" si="8"/>
        <v>33368073.079999998</v>
      </c>
      <c r="U12" s="103"/>
      <c r="V12" s="1345"/>
      <c r="W12" s="1346"/>
      <c r="X12" s="1345"/>
      <c r="Y12" s="101"/>
      <c r="Z12" s="1346"/>
      <c r="AA12" s="1345"/>
      <c r="AB12" s="1346"/>
      <c r="AC12" s="103">
        <f>'Федеральные  средства  по  МО'!F13</f>
        <v>26967418.18</v>
      </c>
      <c r="AD12" s="1348">
        <f>'Проверочная  таблица'!CS14</f>
        <v>0</v>
      </c>
      <c r="AE12" s="1345">
        <f>'Проверочная  таблица'!CW14</f>
        <v>4288396.5500000007</v>
      </c>
      <c r="AF12" s="1347">
        <f>'Проверочная  таблица'!CY14</f>
        <v>22679021.629999999</v>
      </c>
      <c r="AG12" s="104">
        <f>'Федеральные  средства  по  МО'!G13</f>
        <v>20096208.039999999</v>
      </c>
      <c r="AH12" s="1348">
        <f>'Проверочная  таблица'!CT14</f>
        <v>0</v>
      </c>
      <c r="AI12" s="1345">
        <f>'Проверочная  таблица'!CX14</f>
        <v>3430717.25</v>
      </c>
      <c r="AJ12" s="1347">
        <f>'Проверочная  таблица'!CZ14</f>
        <v>16665490.789999999</v>
      </c>
      <c r="AK12" s="104">
        <f>'Федеральные  средства  по  МО'!H13</f>
        <v>32137300</v>
      </c>
      <c r="AL12" s="1345">
        <f t="shared" si="29"/>
        <v>32137300</v>
      </c>
      <c r="AM12" s="1342"/>
      <c r="AN12" s="1351"/>
      <c r="AO12" s="101">
        <f>'Федеральные  средства  по  МО'!I13</f>
        <v>32137300</v>
      </c>
      <c r="AP12" s="1345">
        <f t="shared" si="30"/>
        <v>32137300</v>
      </c>
      <c r="AQ12" s="1341"/>
      <c r="AR12" s="1342"/>
      <c r="AS12" s="101">
        <f>'Федеральные  средства  по  МО'!J13</f>
        <v>0</v>
      </c>
      <c r="AT12" s="1350">
        <f t="shared" si="9"/>
        <v>0</v>
      </c>
      <c r="AU12" s="1341"/>
      <c r="AV12" s="1342"/>
      <c r="AW12" s="101">
        <f>'Федеральные  средства  по  МО'!K13</f>
        <v>0</v>
      </c>
      <c r="AX12" s="1350">
        <f t="shared" si="10"/>
        <v>0</v>
      </c>
      <c r="AY12" s="1342"/>
      <c r="AZ12" s="1351"/>
      <c r="BA12" s="101">
        <f>'Федеральные  средства  по  МО'!L13</f>
        <v>0</v>
      </c>
      <c r="BB12" s="1350">
        <f t="shared" si="11"/>
        <v>0</v>
      </c>
      <c r="BC12" s="1342"/>
      <c r="BD12" s="1351"/>
      <c r="BE12" s="101">
        <f>'Федеральные  средства  по  МО'!M13</f>
        <v>0</v>
      </c>
      <c r="BF12" s="1350">
        <f t="shared" si="12"/>
        <v>0</v>
      </c>
      <c r="BG12" s="1341"/>
      <c r="BH12" s="1342"/>
      <c r="BI12" s="101">
        <f>'Федеральные  средства  по  МО'!N13</f>
        <v>0</v>
      </c>
      <c r="BJ12" s="1350">
        <f t="shared" si="13"/>
        <v>0</v>
      </c>
      <c r="BK12" s="1341"/>
      <c r="BL12" s="1342"/>
      <c r="BM12" s="101">
        <f>'Федеральные  средства  по  МО'!O13</f>
        <v>0</v>
      </c>
      <c r="BN12" s="1350">
        <f t="shared" si="14"/>
        <v>0</v>
      </c>
      <c r="BO12" s="1341"/>
      <c r="BP12" s="1342"/>
      <c r="BQ12" s="101">
        <f>'Федеральные  средства  по  МО'!P13</f>
        <v>0</v>
      </c>
      <c r="BR12" s="1350">
        <f t="shared" si="15"/>
        <v>0</v>
      </c>
      <c r="BS12" s="1341"/>
      <c r="BT12" s="1342"/>
      <c r="BU12" s="101">
        <f>'Федеральные  средства  по  МО'!Q13</f>
        <v>0</v>
      </c>
      <c r="BV12" s="1350">
        <f t="shared" si="16"/>
        <v>0</v>
      </c>
      <c r="BW12" s="1341"/>
      <c r="BX12" s="1342"/>
      <c r="BY12" s="101">
        <f>'Федеральные  средства  по  МО'!R13</f>
        <v>0</v>
      </c>
      <c r="BZ12" s="1350">
        <f t="shared" si="17"/>
        <v>0</v>
      </c>
      <c r="CA12" s="1342"/>
      <c r="CB12" s="1351"/>
      <c r="CC12" s="101">
        <f>'Федеральные  средства  по  МО'!S13</f>
        <v>0</v>
      </c>
      <c r="CD12" s="1350">
        <f t="shared" si="18"/>
        <v>0</v>
      </c>
      <c r="CE12" s="1341"/>
      <c r="CF12" s="1342"/>
      <c r="CG12" s="103">
        <f>'Федеральные  средства  по  МО'!T13</f>
        <v>0</v>
      </c>
      <c r="CH12" s="1345">
        <f t="shared" si="31"/>
        <v>0</v>
      </c>
      <c r="CI12" s="1346"/>
      <c r="CJ12" s="1345"/>
      <c r="CK12" s="104">
        <f>'Федеральные  средства  по  МО'!U13</f>
        <v>0</v>
      </c>
      <c r="CL12" s="1345">
        <f t="shared" si="32"/>
        <v>0</v>
      </c>
      <c r="CM12" s="1346"/>
      <c r="CN12" s="1345"/>
      <c r="CO12" s="100">
        <f>'Федеральные  средства  по  МО'!V13</f>
        <v>0</v>
      </c>
      <c r="CP12" s="1350"/>
      <c r="CQ12" s="1342"/>
      <c r="CR12" s="1351"/>
      <c r="CS12" s="101">
        <f>'Федеральные  средства  по  МО'!W13</f>
        <v>0</v>
      </c>
      <c r="CT12" s="1342"/>
      <c r="CU12" s="1341"/>
      <c r="CV12" s="1342"/>
      <c r="CW12" s="101">
        <f>'Федеральные  средства  по  МО'!X13</f>
        <v>0</v>
      </c>
      <c r="CX12" s="1350">
        <f t="shared" si="21"/>
        <v>0</v>
      </c>
      <c r="CY12" s="1342"/>
      <c r="CZ12" s="1351"/>
      <c r="DA12" s="101">
        <f>'Федеральные  средства  по  МО'!Y13</f>
        <v>0</v>
      </c>
      <c r="DB12" s="1350">
        <f t="shared" si="33"/>
        <v>0</v>
      </c>
      <c r="DC12" s="1341"/>
      <c r="DD12" s="1342"/>
      <c r="DE12" s="103">
        <f>'Федеральные  средства  по  МО'!Z13</f>
        <v>0</v>
      </c>
      <c r="DF12" s="1345">
        <f t="shared" si="34"/>
        <v>0</v>
      </c>
      <c r="DG12" s="1350"/>
      <c r="DH12" s="1342"/>
      <c r="DI12" s="101">
        <f>'Федеральные  средства  по  МО'!AA13</f>
        <v>0</v>
      </c>
      <c r="DJ12" s="1345">
        <f t="shared" si="35"/>
        <v>0</v>
      </c>
      <c r="DK12" s="1341"/>
      <c r="DL12" s="1342"/>
      <c r="DM12" s="101">
        <f>'Федеральные  средства  по  МО'!AB13</f>
        <v>7879700</v>
      </c>
      <c r="DN12" s="1350"/>
      <c r="DO12" s="1342"/>
      <c r="DP12" s="1348">
        <f t="shared" si="36"/>
        <v>7879700</v>
      </c>
      <c r="DQ12" s="101">
        <f>'Федеральные  средства  по  МО'!AC13</f>
        <v>0</v>
      </c>
      <c r="DR12" s="1342"/>
      <c r="DS12" s="1341"/>
      <c r="DT12" s="1348">
        <f t="shared" si="37"/>
        <v>0</v>
      </c>
      <c r="DU12" s="101">
        <f>'Федеральные  средства  по  МО'!AD13</f>
        <v>0</v>
      </c>
      <c r="DV12" s="1350">
        <f t="shared" si="22"/>
        <v>0</v>
      </c>
      <c r="DW12" s="1342"/>
      <c r="DX12" s="1351"/>
      <c r="DY12" s="101">
        <f>'Федеральные  средства  по  МО'!AE13</f>
        <v>0</v>
      </c>
      <c r="DZ12" s="1350">
        <f t="shared" si="23"/>
        <v>0</v>
      </c>
      <c r="EA12" s="1341"/>
      <c r="EB12" s="1342"/>
      <c r="EC12" s="103">
        <f>'Федеральные  средства  по  МО'!AH13</f>
        <v>0</v>
      </c>
      <c r="ED12" s="1348"/>
      <c r="EE12" s="1345">
        <f>'Проверочная  таблица'!HA14</f>
        <v>0</v>
      </c>
      <c r="EF12" s="1347"/>
      <c r="EG12" s="104">
        <f>'Федеральные  средства  по  МО'!AI13</f>
        <v>0</v>
      </c>
      <c r="EH12" s="1348"/>
      <c r="EI12" s="1345">
        <f>'Проверочная  таблица'!HD14</f>
        <v>0</v>
      </c>
      <c r="EJ12" s="1347"/>
      <c r="EK12" s="101">
        <f>'Федеральные  средства  по  МО'!AJ13</f>
        <v>0</v>
      </c>
      <c r="EL12" s="1350"/>
      <c r="EM12" s="1342"/>
      <c r="EN12" s="1351"/>
      <c r="EO12" s="101">
        <f>'Федеральные  средства  по  МО'!AK13</f>
        <v>0</v>
      </c>
      <c r="EP12" s="1342"/>
      <c r="EQ12" s="1341"/>
      <c r="ER12" s="1342"/>
      <c r="ES12" s="103">
        <f>'Федеральные  средства  по  МО'!AL13</f>
        <v>331088.34000000003</v>
      </c>
      <c r="ET12" s="1345">
        <f>'Проверочная  таблица'!HS14</f>
        <v>104311.29</v>
      </c>
      <c r="EU12" s="1346">
        <f>'Проверочная  таблица'!IG14</f>
        <v>54194.170000000042</v>
      </c>
      <c r="EV12" s="1345">
        <f>'Проверочная  таблица'!IM14</f>
        <v>172582.88</v>
      </c>
      <c r="EW12" s="104">
        <f>'Федеральные  средства  по  МО'!AM13</f>
        <v>320249.03999999998</v>
      </c>
      <c r="EX12" s="1345">
        <f>'Проверочная  таблица'!HV14</f>
        <v>104311.29</v>
      </c>
      <c r="EY12" s="1346">
        <f>'Проверочная  таблица'!IJ14</f>
        <v>43355.459999999992</v>
      </c>
      <c r="EZ12" s="1345">
        <f>'Проверочная  таблица'!IP14</f>
        <v>172582.29</v>
      </c>
      <c r="FA12" s="101">
        <f>'Федеральные  средства  по  МО'!AN13</f>
        <v>0</v>
      </c>
      <c r="FB12" s="1342"/>
      <c r="FC12" s="1348">
        <f>'Проверочная  таблица'!JY14</f>
        <v>0</v>
      </c>
      <c r="FD12" s="1345">
        <f>'Проверочная  таблица'!KI14</f>
        <v>0</v>
      </c>
      <c r="FE12" s="104">
        <f>'Федеральные  средства  по  МО'!AO13</f>
        <v>0</v>
      </c>
      <c r="FF12" s="1348"/>
      <c r="FG12" s="1345">
        <f>'Проверочная  таблица'!KD14</f>
        <v>0</v>
      </c>
      <c r="FH12" s="1347">
        <f>'Проверочная  таблица'!KN14</f>
        <v>0</v>
      </c>
      <c r="FI12" s="104">
        <f>'Федеральные  средства  по  МО'!AP13</f>
        <v>0</v>
      </c>
      <c r="FJ12" s="1348">
        <f t="shared" si="38"/>
        <v>0</v>
      </c>
      <c r="FK12" s="1345"/>
      <c r="FL12" s="1347"/>
      <c r="FM12" s="100">
        <f>'Федеральные  средства  по  МО'!AQ13</f>
        <v>0</v>
      </c>
      <c r="FN12" s="1348">
        <f t="shared" si="24"/>
        <v>0</v>
      </c>
      <c r="FO12" s="1345"/>
      <c r="FP12" s="1346"/>
      <c r="FQ12" s="103">
        <f>'Федеральные  средства  по  МО'!AT13</f>
        <v>0</v>
      </c>
      <c r="FR12" s="1345">
        <f>'Проверочная  таблица'!IS14</f>
        <v>0</v>
      </c>
      <c r="FS12" s="1346">
        <f>'Проверочная  таблица'!JW14</f>
        <v>0</v>
      </c>
      <c r="FT12" s="1345">
        <f>'Проверочная  таблица'!KG14</f>
        <v>0</v>
      </c>
      <c r="FU12" s="104">
        <f>'Федеральные  средства  по  МО'!AU13</f>
        <v>0</v>
      </c>
      <c r="FV12" s="1345">
        <f>'Проверочная  таблица'!JC14</f>
        <v>0</v>
      </c>
      <c r="FW12" s="1346">
        <f>'Проверочная  таблица'!KB14</f>
        <v>0</v>
      </c>
      <c r="FX12" s="1345">
        <f>'Проверочная  таблица'!KL14</f>
        <v>0</v>
      </c>
      <c r="FY12" s="104">
        <f>'Федеральные  средства  по  МО'!AR13</f>
        <v>0</v>
      </c>
      <c r="FZ12" s="1345">
        <f t="shared" si="39"/>
        <v>0</v>
      </c>
      <c r="GA12" s="1346"/>
      <c r="GB12" s="1348"/>
      <c r="GC12" s="101">
        <f>'Федеральные  средства  по  МО'!AS13</f>
        <v>0</v>
      </c>
      <c r="GD12" s="1345">
        <f t="shared" si="40"/>
        <v>0</v>
      </c>
      <c r="GE12" s="1347"/>
      <c r="GF12" s="1342"/>
      <c r="GG12" s="100">
        <f>'Федеральные  средства  по  МО'!AV13</f>
        <v>0</v>
      </c>
      <c r="GH12" s="1350">
        <f t="shared" si="41"/>
        <v>0</v>
      </c>
      <c r="GI12" s="1342"/>
      <c r="GJ12" s="1351"/>
      <c r="GK12" s="101">
        <f>'Федеральные  средства  по  МО'!AW13</f>
        <v>0</v>
      </c>
      <c r="GL12" s="1350">
        <f t="shared" si="25"/>
        <v>0</v>
      </c>
      <c r="GM12" s="1342"/>
      <c r="GN12" s="1341"/>
      <c r="GO12" s="1340"/>
      <c r="GP12" s="1341"/>
      <c r="GQ12" s="1342"/>
      <c r="GR12" s="1341"/>
      <c r="GS12" s="1343"/>
      <c r="GT12" s="1342"/>
      <c r="GU12" s="1341"/>
      <c r="GV12" s="1342"/>
      <c r="GW12" s="103">
        <f>'Федеральные  средства  по  МО'!AX13</f>
        <v>16530000</v>
      </c>
      <c r="GX12" s="1348"/>
      <c r="GY12" s="1345"/>
      <c r="GZ12" s="1347">
        <f>'Проверочная  таблица'!MA14</f>
        <v>16530000</v>
      </c>
      <c r="HA12" s="104">
        <f>'Федеральные  средства  по  МО'!AY13</f>
        <v>16530000</v>
      </c>
      <c r="HB12" s="1348"/>
      <c r="HC12" s="1345"/>
      <c r="HD12" s="1347">
        <f>'Проверочная  таблица'!ME14</f>
        <v>16530000</v>
      </c>
      <c r="HE12" s="104">
        <f>'Федеральные  средства  по  МО'!BD13</f>
        <v>0</v>
      </c>
      <c r="HF12" s="1348"/>
      <c r="HG12" s="1345">
        <f t="shared" si="42"/>
        <v>0</v>
      </c>
      <c r="HH12" s="1347"/>
      <c r="HI12" s="100">
        <f>'Федеральные  средства  по  МО'!BE13</f>
        <v>0</v>
      </c>
      <c r="HJ12" s="1348"/>
      <c r="HK12" s="1345">
        <f t="shared" si="43"/>
        <v>0</v>
      </c>
      <c r="HL12" s="1347"/>
      <c r="HM12" s="103">
        <f>'Федеральные  средства  по  МО'!AZ13</f>
        <v>1214027.92</v>
      </c>
      <c r="HN12" s="1348"/>
      <c r="HO12" s="1345">
        <f t="shared" si="44"/>
        <v>1214027.92</v>
      </c>
      <c r="HP12" s="1347"/>
      <c r="HQ12" s="100">
        <f>'Федеральные  средства  по  МО'!BA13</f>
        <v>1214027.92</v>
      </c>
      <c r="HR12" s="1348"/>
      <c r="HS12" s="1345">
        <f t="shared" si="45"/>
        <v>1214027.92</v>
      </c>
      <c r="HT12" s="1346"/>
      <c r="HU12" s="103">
        <f>'Федеральные  средства  по  МО'!AF13</f>
        <v>0</v>
      </c>
      <c r="HV12" s="1345"/>
      <c r="HW12" s="1346">
        <f t="shared" si="46"/>
        <v>0</v>
      </c>
      <c r="HX12" s="1345"/>
      <c r="HY12" s="104">
        <f>'Федеральные  средства  по  МО'!AG13</f>
        <v>0</v>
      </c>
      <c r="HZ12" s="1345"/>
      <c r="IA12" s="1346">
        <f t="shared" si="47"/>
        <v>0</v>
      </c>
      <c r="IB12" s="1345"/>
      <c r="IC12" s="104">
        <f>'Федеральные  средства  по  МО'!BH13</f>
        <v>0</v>
      </c>
      <c r="ID12" s="1345">
        <f>'Проверочная  таблица'!NU14</f>
        <v>0</v>
      </c>
      <c r="IE12" s="1346"/>
      <c r="IF12" s="1345"/>
      <c r="IG12" s="104">
        <f>'Федеральные  средства  по  МО'!BI13</f>
        <v>0</v>
      </c>
      <c r="IH12" s="1345">
        <f>'Проверочная  таблица'!OB14</f>
        <v>0</v>
      </c>
      <c r="II12" s="1346"/>
      <c r="IJ12" s="1345"/>
      <c r="IK12" s="104">
        <f>'Федеральные  средства  по  МО'!BJ13</f>
        <v>0</v>
      </c>
      <c r="IL12" s="1348">
        <f>'Проверочная  таблица'!NW14</f>
        <v>0</v>
      </c>
      <c r="IM12" s="1345">
        <f>'Проверочная  таблица'!OY14</f>
        <v>0</v>
      </c>
      <c r="IN12" s="1347"/>
      <c r="IO12" s="104">
        <f>'Федеральные  средства  по  МО'!BK13</f>
        <v>0</v>
      </c>
      <c r="IP12" s="1348">
        <f>'Проверочная  таблица'!OD14</f>
        <v>0</v>
      </c>
      <c r="IQ12" s="1345">
        <f>'Проверочная  таблица'!OR14</f>
        <v>0</v>
      </c>
      <c r="IR12" s="1347"/>
      <c r="IS12" s="100">
        <f>'Федеральные  средства  по  МО'!BB13</f>
        <v>0</v>
      </c>
      <c r="IT12" s="1350"/>
      <c r="IU12" s="1342"/>
      <c r="IV12" s="1351"/>
      <c r="IW12" s="101">
        <f>'Федеральные  средства  по  МО'!BC13</f>
        <v>0</v>
      </c>
      <c r="IX12" s="1342"/>
      <c r="IY12" s="1341"/>
      <c r="IZ12" s="1342"/>
      <c r="JA12" s="101">
        <f>'Федеральные  средства  по  МО'!BF13</f>
        <v>0</v>
      </c>
      <c r="JB12" s="1350"/>
      <c r="JC12" s="1342"/>
      <c r="JD12" s="1351"/>
      <c r="JE12" s="101">
        <f>'Федеральные  средства  по  МО'!BG13</f>
        <v>0</v>
      </c>
      <c r="JF12" s="1342"/>
      <c r="JG12" s="1341"/>
      <c r="JH12" s="1342"/>
      <c r="JI12" s="103">
        <f>'Федеральные  средства  по  МО'!BL13</f>
        <v>7363240</v>
      </c>
      <c r="JJ12" s="1345">
        <f>'Проверочная  таблица'!PW14</f>
        <v>0</v>
      </c>
      <c r="JK12" s="1346">
        <f>'Проверочная  таблица'!QI14</f>
        <v>7363240</v>
      </c>
      <c r="JL12" s="1345"/>
      <c r="JM12" s="104">
        <f>'Федеральные  средства  по  МО'!BM13</f>
        <v>0</v>
      </c>
      <c r="JN12" s="1345">
        <f>'Проверочная  таблица'!PZ14</f>
        <v>0</v>
      </c>
      <c r="JO12" s="1346">
        <f>'Проверочная  таблица'!QL14</f>
        <v>0</v>
      </c>
      <c r="JP12" s="1345"/>
    </row>
    <row r="13" spans="1:276" ht="25.5" customHeight="1" x14ac:dyDescent="0.25">
      <c r="A13" s="102" t="s">
        <v>82</v>
      </c>
      <c r="B13" s="278">
        <f t="shared" si="26"/>
        <v>8259052.4500000002</v>
      </c>
      <c r="C13" s="1329">
        <f t="shared" si="0"/>
        <v>5302396.08</v>
      </c>
      <c r="D13" s="1329">
        <f t="shared" si="0"/>
        <v>2956656.37</v>
      </c>
      <c r="E13" s="1329">
        <f t="shared" si="0"/>
        <v>0</v>
      </c>
      <c r="F13" s="278">
        <f t="shared" si="27"/>
        <v>6747734.2799999993</v>
      </c>
      <c r="G13" s="1329">
        <f t="shared" si="28"/>
        <v>5302396.0599999996</v>
      </c>
      <c r="H13" s="1329">
        <f t="shared" si="28"/>
        <v>1445338.22</v>
      </c>
      <c r="I13" s="1329">
        <f t="shared" si="28"/>
        <v>0</v>
      </c>
      <c r="J13" s="105"/>
      <c r="K13" s="1330">
        <f>M13-'Федеральные  средства  по  МО'!D14</f>
        <v>0</v>
      </c>
      <c r="L13" s="1330">
        <f>Q13-'Федеральные  средства  по  МО'!E14</f>
        <v>0</v>
      </c>
      <c r="M13" s="278">
        <f t="shared" si="1"/>
        <v>8259052.4500000002</v>
      </c>
      <c r="N13" s="1329">
        <f t="shared" si="2"/>
        <v>5302396.08</v>
      </c>
      <c r="O13" s="1329">
        <f t="shared" si="3"/>
        <v>2956656.37</v>
      </c>
      <c r="P13" s="1329">
        <f t="shared" si="4"/>
        <v>0</v>
      </c>
      <c r="Q13" s="278">
        <f t="shared" si="5"/>
        <v>6747734.2799999993</v>
      </c>
      <c r="R13" s="1329">
        <f t="shared" si="6"/>
        <v>5302396.0599999996</v>
      </c>
      <c r="S13" s="1329">
        <f t="shared" si="7"/>
        <v>1445338.22</v>
      </c>
      <c r="T13" s="1329">
        <f t="shared" si="8"/>
        <v>0</v>
      </c>
      <c r="U13" s="103"/>
      <c r="V13" s="1345"/>
      <c r="W13" s="1346"/>
      <c r="X13" s="1345"/>
      <c r="Y13" s="101"/>
      <c r="Z13" s="1346"/>
      <c r="AA13" s="1345"/>
      <c r="AB13" s="1346"/>
      <c r="AC13" s="103">
        <f>'Федеральные  средства  по  МО'!F14</f>
        <v>0</v>
      </c>
      <c r="AD13" s="1348">
        <f>'Проверочная  таблица'!CS15</f>
        <v>0</v>
      </c>
      <c r="AE13" s="1345">
        <f>'Проверочная  таблица'!CW15</f>
        <v>0</v>
      </c>
      <c r="AF13" s="1347">
        <f>'Проверочная  таблица'!CY15</f>
        <v>0</v>
      </c>
      <c r="AG13" s="104">
        <f>'Федеральные  средства  по  МО'!G14</f>
        <v>0</v>
      </c>
      <c r="AH13" s="1348">
        <f>'Проверочная  таблица'!CT15</f>
        <v>0</v>
      </c>
      <c r="AI13" s="1345">
        <f>'Проверочная  таблица'!CX15</f>
        <v>0</v>
      </c>
      <c r="AJ13" s="1347">
        <f>'Проверочная  таблица'!CZ15</f>
        <v>0</v>
      </c>
      <c r="AK13" s="104">
        <f>'Федеральные  средства  по  МО'!H14</f>
        <v>0</v>
      </c>
      <c r="AL13" s="1345">
        <f t="shared" si="29"/>
        <v>0</v>
      </c>
      <c r="AM13" s="1346"/>
      <c r="AN13" s="1348"/>
      <c r="AO13" s="101">
        <f>'Федеральные  средства  по  МО'!I14</f>
        <v>0</v>
      </c>
      <c r="AP13" s="1345">
        <f t="shared" si="30"/>
        <v>0</v>
      </c>
      <c r="AQ13" s="1345"/>
      <c r="AR13" s="1346"/>
      <c r="AS13" s="101">
        <f>'Федеральные  средства  по  МО'!J14</f>
        <v>0</v>
      </c>
      <c r="AT13" s="1347">
        <f t="shared" si="9"/>
        <v>0</v>
      </c>
      <c r="AU13" s="1345"/>
      <c r="AV13" s="1346"/>
      <c r="AW13" s="101">
        <f>'Федеральные  средства  по  МО'!K14</f>
        <v>0</v>
      </c>
      <c r="AX13" s="1347">
        <f t="shared" si="10"/>
        <v>0</v>
      </c>
      <c r="AY13" s="1346"/>
      <c r="AZ13" s="1348"/>
      <c r="BA13" s="101">
        <f>'Федеральные  средства  по  МО'!L14</f>
        <v>0</v>
      </c>
      <c r="BB13" s="1347">
        <f t="shared" si="11"/>
        <v>0</v>
      </c>
      <c r="BC13" s="1346"/>
      <c r="BD13" s="1348"/>
      <c r="BE13" s="101">
        <f>'Федеральные  средства  по  МО'!M14</f>
        <v>0</v>
      </c>
      <c r="BF13" s="1347">
        <f t="shared" si="12"/>
        <v>0</v>
      </c>
      <c r="BG13" s="1345"/>
      <c r="BH13" s="1346"/>
      <c r="BI13" s="101">
        <f>'Федеральные  средства  по  МО'!N14</f>
        <v>0</v>
      </c>
      <c r="BJ13" s="1347">
        <f t="shared" si="13"/>
        <v>0</v>
      </c>
      <c r="BK13" s="1345"/>
      <c r="BL13" s="1346"/>
      <c r="BM13" s="101">
        <f>'Федеральные  средства  по  МО'!O14</f>
        <v>0</v>
      </c>
      <c r="BN13" s="1347">
        <f t="shared" si="14"/>
        <v>0</v>
      </c>
      <c r="BO13" s="1345"/>
      <c r="BP13" s="1346"/>
      <c r="BQ13" s="101">
        <f>'Федеральные  средства  по  МО'!P14</f>
        <v>0</v>
      </c>
      <c r="BR13" s="1347">
        <f t="shared" si="15"/>
        <v>0</v>
      </c>
      <c r="BS13" s="1345"/>
      <c r="BT13" s="1346"/>
      <c r="BU13" s="101">
        <f>'Федеральные  средства  по  МО'!Q14</f>
        <v>0</v>
      </c>
      <c r="BV13" s="1347">
        <f t="shared" si="16"/>
        <v>0</v>
      </c>
      <c r="BW13" s="1345"/>
      <c r="BX13" s="1346"/>
      <c r="BY13" s="101">
        <f>'Федеральные  средства  по  МО'!R14</f>
        <v>0</v>
      </c>
      <c r="BZ13" s="1347">
        <f t="shared" si="17"/>
        <v>0</v>
      </c>
      <c r="CA13" s="1346"/>
      <c r="CB13" s="1348"/>
      <c r="CC13" s="101">
        <f>'Федеральные  средства  по  МО'!S14</f>
        <v>0</v>
      </c>
      <c r="CD13" s="1347">
        <f t="shared" si="18"/>
        <v>0</v>
      </c>
      <c r="CE13" s="1345"/>
      <c r="CF13" s="1346"/>
      <c r="CG13" s="103">
        <f>'Федеральные  средства  по  МО'!T14</f>
        <v>0</v>
      </c>
      <c r="CH13" s="1345">
        <f t="shared" si="31"/>
        <v>0</v>
      </c>
      <c r="CI13" s="1346"/>
      <c r="CJ13" s="1345"/>
      <c r="CK13" s="104">
        <f>'Федеральные  средства  по  МО'!U14</f>
        <v>0</v>
      </c>
      <c r="CL13" s="1345">
        <f t="shared" si="32"/>
        <v>0</v>
      </c>
      <c r="CM13" s="1346"/>
      <c r="CN13" s="1345"/>
      <c r="CO13" s="100">
        <f>'Федеральные  средства  по  МО'!V14</f>
        <v>0</v>
      </c>
      <c r="CP13" s="1347"/>
      <c r="CQ13" s="1346"/>
      <c r="CR13" s="1348"/>
      <c r="CS13" s="101">
        <f>'Федеральные  средства  по  МО'!W14</f>
        <v>0</v>
      </c>
      <c r="CT13" s="1346"/>
      <c r="CU13" s="1345"/>
      <c r="CV13" s="1346"/>
      <c r="CW13" s="101">
        <f>'Федеральные  средства  по  МО'!X14</f>
        <v>0</v>
      </c>
      <c r="CX13" s="1347">
        <f t="shared" si="21"/>
        <v>0</v>
      </c>
      <c r="CY13" s="1346"/>
      <c r="CZ13" s="1348"/>
      <c r="DA13" s="101">
        <f>'Федеральные  средства  по  МО'!Y14</f>
        <v>0</v>
      </c>
      <c r="DB13" s="1347">
        <f t="shared" si="33"/>
        <v>0</v>
      </c>
      <c r="DC13" s="1345"/>
      <c r="DD13" s="1346"/>
      <c r="DE13" s="103">
        <f>'Федеральные  средства  по  МО'!Z14</f>
        <v>0</v>
      </c>
      <c r="DF13" s="1345">
        <f t="shared" si="34"/>
        <v>0</v>
      </c>
      <c r="DG13" s="1347"/>
      <c r="DH13" s="1346"/>
      <c r="DI13" s="101">
        <f>'Федеральные  средства  по  МО'!AA14</f>
        <v>0</v>
      </c>
      <c r="DJ13" s="1345">
        <f t="shared" si="35"/>
        <v>0</v>
      </c>
      <c r="DK13" s="1345"/>
      <c r="DL13" s="1346"/>
      <c r="DM13" s="101">
        <f>'Федеральные  средства  по  МО'!AB14</f>
        <v>0</v>
      </c>
      <c r="DN13" s="1347"/>
      <c r="DO13" s="1346"/>
      <c r="DP13" s="1348">
        <f t="shared" si="36"/>
        <v>0</v>
      </c>
      <c r="DQ13" s="101">
        <f>'Федеральные  средства  по  МО'!AC14</f>
        <v>0</v>
      </c>
      <c r="DR13" s="1346"/>
      <c r="DS13" s="1345"/>
      <c r="DT13" s="1348">
        <f t="shared" si="37"/>
        <v>0</v>
      </c>
      <c r="DU13" s="101">
        <f>'Федеральные  средства  по  МО'!AD14</f>
        <v>0</v>
      </c>
      <c r="DV13" s="1347">
        <f t="shared" si="22"/>
        <v>0</v>
      </c>
      <c r="DW13" s="1346"/>
      <c r="DX13" s="1348"/>
      <c r="DY13" s="101">
        <f>'Федеральные  средства  по  МО'!AE14</f>
        <v>0</v>
      </c>
      <c r="DZ13" s="1347">
        <f t="shared" si="23"/>
        <v>0</v>
      </c>
      <c r="EA13" s="1345"/>
      <c r="EB13" s="1346"/>
      <c r="EC13" s="103">
        <f>'Федеральные  средства  по  МО'!AH14</f>
        <v>134582.89000000001</v>
      </c>
      <c r="ED13" s="1348"/>
      <c r="EE13" s="1345">
        <f>'Проверочная  таблица'!HA15</f>
        <v>134582.89000000001</v>
      </c>
      <c r="EF13" s="1347"/>
      <c r="EG13" s="104">
        <f>'Федеральные  средства  по  МО'!AI14</f>
        <v>134543.74</v>
      </c>
      <c r="EH13" s="1348"/>
      <c r="EI13" s="1345">
        <f>'Проверочная  таблица'!HD15</f>
        <v>134543.74</v>
      </c>
      <c r="EJ13" s="1347"/>
      <c r="EK13" s="101">
        <f>'Федеральные  средства  по  МО'!AJ14</f>
        <v>0</v>
      </c>
      <c r="EL13" s="1347"/>
      <c r="EM13" s="1346"/>
      <c r="EN13" s="1348"/>
      <c r="EO13" s="101">
        <f>'Федеральные  средства  по  МО'!AK14</f>
        <v>0</v>
      </c>
      <c r="EP13" s="1346"/>
      <c r="EQ13" s="1345"/>
      <c r="ER13" s="1346"/>
      <c r="ES13" s="103">
        <f>'Федеральные  средства  по  МО'!AL14</f>
        <v>302008.71000000002</v>
      </c>
      <c r="ET13" s="1345">
        <f>'Проверочная  таблица'!HS15</f>
        <v>302008.71000000002</v>
      </c>
      <c r="EU13" s="1346">
        <f>'Проверочная  таблица'!IG15</f>
        <v>0</v>
      </c>
      <c r="EV13" s="1345">
        <f>'Проверочная  таблица'!IM15</f>
        <v>0</v>
      </c>
      <c r="EW13" s="104">
        <f>'Федеральные  средства  по  МО'!AM14</f>
        <v>302008.71000000002</v>
      </c>
      <c r="EX13" s="1345">
        <f>'Проверочная  таблица'!HV15</f>
        <v>302008.71000000002</v>
      </c>
      <c r="EY13" s="1346">
        <f>'Проверочная  таблица'!IJ15</f>
        <v>0</v>
      </c>
      <c r="EZ13" s="1345">
        <f>'Проверочная  таблица'!IP15</f>
        <v>0</v>
      </c>
      <c r="FA13" s="101">
        <f>'Федеральные  средства  по  МО'!AN14</f>
        <v>0</v>
      </c>
      <c r="FB13" s="1346"/>
      <c r="FC13" s="1348">
        <f>'Проверочная  таблица'!JY15</f>
        <v>0</v>
      </c>
      <c r="FD13" s="1345">
        <f>'Проверочная  таблица'!KI15</f>
        <v>0</v>
      </c>
      <c r="FE13" s="104">
        <f>'Федеральные  средства  по  МО'!AO14</f>
        <v>0</v>
      </c>
      <c r="FF13" s="1348"/>
      <c r="FG13" s="1345">
        <f>'Проверочная  таблица'!KD15</f>
        <v>0</v>
      </c>
      <c r="FH13" s="1347">
        <f>'Проверочная  таблица'!KN15</f>
        <v>0</v>
      </c>
      <c r="FI13" s="104">
        <f>'Федеральные  средства  по  МО'!AP14</f>
        <v>5000387.37</v>
      </c>
      <c r="FJ13" s="1348">
        <f t="shared" si="38"/>
        <v>5000387.37</v>
      </c>
      <c r="FK13" s="1345"/>
      <c r="FL13" s="1347"/>
      <c r="FM13" s="100">
        <f>'Федеральные  средства  по  МО'!AQ14</f>
        <v>5000387.3499999996</v>
      </c>
      <c r="FN13" s="1348">
        <f t="shared" si="24"/>
        <v>5000387.3499999996</v>
      </c>
      <c r="FO13" s="1345"/>
      <c r="FP13" s="1346"/>
      <c r="FQ13" s="103">
        <f>'Федеральные  средства  по  МО'!AT14</f>
        <v>0</v>
      </c>
      <c r="FR13" s="1345">
        <f>'Проверочная  таблица'!IS15</f>
        <v>0</v>
      </c>
      <c r="FS13" s="1346">
        <f>'Проверочная  таблица'!JW15</f>
        <v>0</v>
      </c>
      <c r="FT13" s="1345">
        <f>'Проверочная  таблица'!KG15</f>
        <v>0</v>
      </c>
      <c r="FU13" s="104">
        <f>'Федеральные  средства  по  МО'!AU14</f>
        <v>0</v>
      </c>
      <c r="FV13" s="1345">
        <f>'Проверочная  таблица'!JC15</f>
        <v>0</v>
      </c>
      <c r="FW13" s="1346">
        <f>'Проверочная  таблица'!KB15</f>
        <v>0</v>
      </c>
      <c r="FX13" s="1345">
        <f>'Проверочная  таблица'!KL15</f>
        <v>0</v>
      </c>
      <c r="FY13" s="104">
        <f>'Федеральные  средства  по  МО'!AR14</f>
        <v>0</v>
      </c>
      <c r="FZ13" s="1345">
        <f t="shared" si="39"/>
        <v>0</v>
      </c>
      <c r="GA13" s="1346"/>
      <c r="GB13" s="1348"/>
      <c r="GC13" s="101">
        <f>'Федеральные  средства  по  МО'!AS14</f>
        <v>0</v>
      </c>
      <c r="GD13" s="1345">
        <f t="shared" si="40"/>
        <v>0</v>
      </c>
      <c r="GE13" s="1347"/>
      <c r="GF13" s="1346"/>
      <c r="GG13" s="100">
        <f>'Федеральные  средства  по  МО'!AV14</f>
        <v>0</v>
      </c>
      <c r="GH13" s="1347">
        <f t="shared" si="41"/>
        <v>0</v>
      </c>
      <c r="GI13" s="1346"/>
      <c r="GJ13" s="1348"/>
      <c r="GK13" s="101">
        <f>'Федеральные  средства  по  МО'!AW14</f>
        <v>0</v>
      </c>
      <c r="GL13" s="1347">
        <f t="shared" si="25"/>
        <v>0</v>
      </c>
      <c r="GM13" s="1346"/>
      <c r="GN13" s="1345"/>
      <c r="GO13" s="104"/>
      <c r="GP13" s="1345"/>
      <c r="GQ13" s="1346"/>
      <c r="GR13" s="1345"/>
      <c r="GS13" s="100"/>
      <c r="GT13" s="1346"/>
      <c r="GU13" s="1345"/>
      <c r="GV13" s="1346"/>
      <c r="GW13" s="103">
        <f>'Федеральные  средства  по  МО'!AX14</f>
        <v>0</v>
      </c>
      <c r="GX13" s="1348"/>
      <c r="GY13" s="1345"/>
      <c r="GZ13" s="1347">
        <f>'Проверочная  таблица'!MA15</f>
        <v>0</v>
      </c>
      <c r="HA13" s="104">
        <f>'Федеральные  средства  по  МО'!AY14</f>
        <v>0</v>
      </c>
      <c r="HB13" s="1348"/>
      <c r="HC13" s="1345"/>
      <c r="HD13" s="1347">
        <f>'Проверочная  таблица'!ME15</f>
        <v>0</v>
      </c>
      <c r="HE13" s="104">
        <f>'Федеральные  средства  по  МО'!BD14</f>
        <v>0</v>
      </c>
      <c r="HF13" s="1348"/>
      <c r="HG13" s="1345">
        <f t="shared" si="42"/>
        <v>0</v>
      </c>
      <c r="HH13" s="1347"/>
      <c r="HI13" s="100">
        <f>'Федеральные  средства  по  МО'!BE14</f>
        <v>0</v>
      </c>
      <c r="HJ13" s="1348"/>
      <c r="HK13" s="1345">
        <f t="shared" si="43"/>
        <v>0</v>
      </c>
      <c r="HL13" s="1347"/>
      <c r="HM13" s="103">
        <f>'Федеральные  средства  по  МО'!AZ14</f>
        <v>1310794.48</v>
      </c>
      <c r="HN13" s="1348"/>
      <c r="HO13" s="1345">
        <f t="shared" si="44"/>
        <v>1310794.48</v>
      </c>
      <c r="HP13" s="1347"/>
      <c r="HQ13" s="100">
        <f>'Федеральные  средства  по  МО'!BA14</f>
        <v>1310794.48</v>
      </c>
      <c r="HR13" s="1348"/>
      <c r="HS13" s="1345">
        <f t="shared" si="45"/>
        <v>1310794.48</v>
      </c>
      <c r="HT13" s="1346"/>
      <c r="HU13" s="103">
        <f>'Федеральные  средства  по  МО'!AF14</f>
        <v>1511279</v>
      </c>
      <c r="HV13" s="1345"/>
      <c r="HW13" s="1346">
        <f t="shared" si="46"/>
        <v>1511279</v>
      </c>
      <c r="HX13" s="1345"/>
      <c r="HY13" s="104">
        <f>'Федеральные  средства  по  МО'!AG14</f>
        <v>0</v>
      </c>
      <c r="HZ13" s="1345"/>
      <c r="IA13" s="1346">
        <f t="shared" si="47"/>
        <v>0</v>
      </c>
      <c r="IB13" s="1345"/>
      <c r="IC13" s="104">
        <f>'Федеральные  средства  по  МО'!BH14</f>
        <v>0</v>
      </c>
      <c r="ID13" s="1345">
        <f>'Проверочная  таблица'!NU15</f>
        <v>0</v>
      </c>
      <c r="IE13" s="1346"/>
      <c r="IF13" s="1345"/>
      <c r="IG13" s="104">
        <f>'Федеральные  средства  по  МО'!BI14</f>
        <v>0</v>
      </c>
      <c r="IH13" s="1345">
        <f>'Проверочная  таблица'!OB15</f>
        <v>0</v>
      </c>
      <c r="II13" s="1346"/>
      <c r="IJ13" s="1345"/>
      <c r="IK13" s="104">
        <f>'Федеральные  средства  по  МО'!BJ14</f>
        <v>0</v>
      </c>
      <c r="IL13" s="1348">
        <f>'Проверочная  таблица'!NW15</f>
        <v>0</v>
      </c>
      <c r="IM13" s="1345">
        <f>'Проверочная  таблица'!OY15</f>
        <v>0</v>
      </c>
      <c r="IN13" s="1347"/>
      <c r="IO13" s="104">
        <f>'Федеральные  средства  по  МО'!BK14</f>
        <v>0</v>
      </c>
      <c r="IP13" s="1348">
        <f>'Проверочная  таблица'!OD15</f>
        <v>0</v>
      </c>
      <c r="IQ13" s="1345">
        <f>'Проверочная  таблица'!OR15</f>
        <v>0</v>
      </c>
      <c r="IR13" s="1347"/>
      <c r="IS13" s="100">
        <f>'Федеральные  средства  по  МО'!BB14</f>
        <v>0</v>
      </c>
      <c r="IT13" s="1347"/>
      <c r="IU13" s="1346"/>
      <c r="IV13" s="1348"/>
      <c r="IW13" s="101">
        <f>'Федеральные  средства  по  МО'!BC14</f>
        <v>0</v>
      </c>
      <c r="IX13" s="1346"/>
      <c r="IY13" s="1345"/>
      <c r="IZ13" s="1346"/>
      <c r="JA13" s="101">
        <f>'Федеральные  средства  по  МО'!BF14</f>
        <v>0</v>
      </c>
      <c r="JB13" s="1347"/>
      <c r="JC13" s="1346"/>
      <c r="JD13" s="1348"/>
      <c r="JE13" s="101">
        <f>'Федеральные  средства  по  МО'!BG14</f>
        <v>0</v>
      </c>
      <c r="JF13" s="1346"/>
      <c r="JG13" s="1345"/>
      <c r="JH13" s="1346"/>
      <c r="JI13" s="103">
        <f>'Федеральные  средства  по  МО'!BL14</f>
        <v>0</v>
      </c>
      <c r="JJ13" s="1345">
        <f>'Проверочная  таблица'!PW15</f>
        <v>0</v>
      </c>
      <c r="JK13" s="1346">
        <f>'Проверочная  таблица'!QI15</f>
        <v>0</v>
      </c>
      <c r="JL13" s="1345"/>
      <c r="JM13" s="104">
        <f>'Федеральные  средства  по  МО'!BM14</f>
        <v>0</v>
      </c>
      <c r="JN13" s="1345">
        <f>'Проверочная  таблица'!PZ15</f>
        <v>0</v>
      </c>
      <c r="JO13" s="1346">
        <f>'Проверочная  таблица'!QL15</f>
        <v>0</v>
      </c>
      <c r="JP13" s="1345"/>
    </row>
    <row r="14" spans="1:276" ht="25.5" customHeight="1" x14ac:dyDescent="0.25">
      <c r="A14" s="105" t="s">
        <v>83</v>
      </c>
      <c r="B14" s="278">
        <f t="shared" si="26"/>
        <v>195575151.62</v>
      </c>
      <c r="C14" s="1329">
        <f t="shared" si="0"/>
        <v>137074893.97999999</v>
      </c>
      <c r="D14" s="1329">
        <f t="shared" si="0"/>
        <v>58500257.640000001</v>
      </c>
      <c r="E14" s="1329">
        <f t="shared" si="0"/>
        <v>0</v>
      </c>
      <c r="F14" s="278">
        <f t="shared" si="27"/>
        <v>105972156.86000001</v>
      </c>
      <c r="G14" s="1329">
        <f t="shared" si="28"/>
        <v>89701286.730000019</v>
      </c>
      <c r="H14" s="1329">
        <f t="shared" si="28"/>
        <v>16270870.129999999</v>
      </c>
      <c r="I14" s="1329">
        <f t="shared" si="28"/>
        <v>0</v>
      </c>
      <c r="J14" s="105"/>
      <c r="K14" s="1330">
        <f>M14-'Федеральные  средства  по  МО'!D15</f>
        <v>0</v>
      </c>
      <c r="L14" s="1330">
        <f>Q14-'Федеральные  средства  по  МО'!E15</f>
        <v>0</v>
      </c>
      <c r="M14" s="278">
        <f t="shared" si="1"/>
        <v>195575151.62</v>
      </c>
      <c r="N14" s="1329">
        <f t="shared" si="2"/>
        <v>137074893.97999999</v>
      </c>
      <c r="O14" s="1329">
        <f t="shared" si="3"/>
        <v>58500257.640000001</v>
      </c>
      <c r="P14" s="1329">
        <f t="shared" si="4"/>
        <v>0</v>
      </c>
      <c r="Q14" s="278">
        <f t="shared" si="5"/>
        <v>105972156.86000001</v>
      </c>
      <c r="R14" s="1329">
        <f t="shared" si="6"/>
        <v>89701286.730000019</v>
      </c>
      <c r="S14" s="1329">
        <f t="shared" si="7"/>
        <v>16270870.129999999</v>
      </c>
      <c r="T14" s="1329">
        <f t="shared" si="8"/>
        <v>0</v>
      </c>
      <c r="U14" s="103"/>
      <c r="V14" s="1345"/>
      <c r="W14" s="1346"/>
      <c r="X14" s="1345"/>
      <c r="Y14" s="101"/>
      <c r="Z14" s="1346"/>
      <c r="AA14" s="1345"/>
      <c r="AB14" s="1346"/>
      <c r="AC14" s="103">
        <f>'Федеральные  средства  по  МО'!F15</f>
        <v>0</v>
      </c>
      <c r="AD14" s="1348">
        <f>'Проверочная  таблица'!CS16</f>
        <v>0</v>
      </c>
      <c r="AE14" s="1345">
        <f>'Проверочная  таблица'!CW16</f>
        <v>0</v>
      </c>
      <c r="AF14" s="1347">
        <f>'Проверочная  таблица'!CY16</f>
        <v>0</v>
      </c>
      <c r="AG14" s="104">
        <f>'Федеральные  средства  по  МО'!G15</f>
        <v>0</v>
      </c>
      <c r="AH14" s="1348">
        <f>'Проверочная  таблица'!CT16</f>
        <v>0</v>
      </c>
      <c r="AI14" s="1345">
        <f>'Проверочная  таблица'!CX16</f>
        <v>0</v>
      </c>
      <c r="AJ14" s="1347">
        <f>'Проверочная  таблица'!CZ16</f>
        <v>0</v>
      </c>
      <c r="AK14" s="104">
        <f>'Федеральные  средства  по  МО'!H15</f>
        <v>0</v>
      </c>
      <c r="AL14" s="1345">
        <f t="shared" si="29"/>
        <v>0</v>
      </c>
      <c r="AM14" s="1342"/>
      <c r="AN14" s="1351"/>
      <c r="AO14" s="101">
        <f>'Федеральные  средства  по  МО'!I15</f>
        <v>0</v>
      </c>
      <c r="AP14" s="1345">
        <f t="shared" si="30"/>
        <v>0</v>
      </c>
      <c r="AQ14" s="1341"/>
      <c r="AR14" s="1342"/>
      <c r="AS14" s="101">
        <f>'Федеральные  средства  по  МО'!J15</f>
        <v>0</v>
      </c>
      <c r="AT14" s="1350">
        <f t="shared" si="9"/>
        <v>0</v>
      </c>
      <c r="AU14" s="1341"/>
      <c r="AV14" s="1342"/>
      <c r="AW14" s="101">
        <f>'Федеральные  средства  по  МО'!K15</f>
        <v>0</v>
      </c>
      <c r="AX14" s="1350">
        <f t="shared" si="10"/>
        <v>0</v>
      </c>
      <c r="AY14" s="1342"/>
      <c r="AZ14" s="1351"/>
      <c r="BA14" s="101">
        <f>'Федеральные  средства  по  МО'!L15</f>
        <v>0</v>
      </c>
      <c r="BB14" s="1350">
        <f t="shared" si="11"/>
        <v>0</v>
      </c>
      <c r="BC14" s="1342"/>
      <c r="BD14" s="1351"/>
      <c r="BE14" s="101">
        <f>'Федеральные  средства  по  МО'!M15</f>
        <v>0</v>
      </c>
      <c r="BF14" s="1350">
        <f t="shared" si="12"/>
        <v>0</v>
      </c>
      <c r="BG14" s="1341"/>
      <c r="BH14" s="1342"/>
      <c r="BI14" s="101">
        <f>'Федеральные  средства  по  МО'!N15</f>
        <v>0</v>
      </c>
      <c r="BJ14" s="1350">
        <f t="shared" si="13"/>
        <v>0</v>
      </c>
      <c r="BK14" s="1341"/>
      <c r="BL14" s="1342"/>
      <c r="BM14" s="101">
        <f>'Федеральные  средства  по  МО'!O15</f>
        <v>0</v>
      </c>
      <c r="BN14" s="1350">
        <f t="shared" si="14"/>
        <v>0</v>
      </c>
      <c r="BO14" s="1341"/>
      <c r="BP14" s="1342"/>
      <c r="BQ14" s="101">
        <f>'Федеральные  средства  по  МО'!P15</f>
        <v>0</v>
      </c>
      <c r="BR14" s="1350">
        <f t="shared" si="15"/>
        <v>0</v>
      </c>
      <c r="BS14" s="1341"/>
      <c r="BT14" s="1342"/>
      <c r="BU14" s="101">
        <f>'Федеральные  средства  по  МО'!Q15</f>
        <v>0</v>
      </c>
      <c r="BV14" s="1350">
        <f t="shared" si="16"/>
        <v>0</v>
      </c>
      <c r="BW14" s="1341"/>
      <c r="BX14" s="1342"/>
      <c r="BY14" s="101">
        <f>'Федеральные  средства  по  МО'!R15</f>
        <v>0</v>
      </c>
      <c r="BZ14" s="1350">
        <f t="shared" si="17"/>
        <v>0</v>
      </c>
      <c r="CA14" s="1342"/>
      <c r="CB14" s="1351"/>
      <c r="CC14" s="101">
        <f>'Федеральные  средства  по  МО'!S15</f>
        <v>0</v>
      </c>
      <c r="CD14" s="1350">
        <f t="shared" si="18"/>
        <v>0</v>
      </c>
      <c r="CE14" s="1341"/>
      <c r="CF14" s="1342"/>
      <c r="CG14" s="103">
        <f>'Федеральные  средства  по  МО'!T15</f>
        <v>0</v>
      </c>
      <c r="CH14" s="1345">
        <f t="shared" si="31"/>
        <v>0</v>
      </c>
      <c r="CI14" s="1346"/>
      <c r="CJ14" s="1345"/>
      <c r="CK14" s="104">
        <f>'Федеральные  средства  по  МО'!U15</f>
        <v>0</v>
      </c>
      <c r="CL14" s="1345">
        <f t="shared" si="32"/>
        <v>0</v>
      </c>
      <c r="CM14" s="1346"/>
      <c r="CN14" s="1345"/>
      <c r="CO14" s="100">
        <f>'Федеральные  средства  по  МО'!V15</f>
        <v>0</v>
      </c>
      <c r="CP14" s="1350"/>
      <c r="CQ14" s="1342"/>
      <c r="CR14" s="1351"/>
      <c r="CS14" s="101">
        <f>'Федеральные  средства  по  МО'!W15</f>
        <v>0</v>
      </c>
      <c r="CT14" s="1342"/>
      <c r="CU14" s="1341"/>
      <c r="CV14" s="1342"/>
      <c r="CW14" s="101">
        <f>'Федеральные  средства  по  МО'!X15</f>
        <v>0</v>
      </c>
      <c r="CX14" s="1350">
        <f t="shared" si="21"/>
        <v>0</v>
      </c>
      <c r="CY14" s="1342"/>
      <c r="CZ14" s="1351"/>
      <c r="DA14" s="101">
        <f>'Федеральные  средства  по  МО'!Y15</f>
        <v>0</v>
      </c>
      <c r="DB14" s="1350">
        <f t="shared" si="33"/>
        <v>0</v>
      </c>
      <c r="DC14" s="1341"/>
      <c r="DD14" s="1342"/>
      <c r="DE14" s="103">
        <f>'Федеральные  средства  по  МО'!Z15</f>
        <v>0</v>
      </c>
      <c r="DF14" s="1345">
        <f t="shared" si="34"/>
        <v>0</v>
      </c>
      <c r="DG14" s="1350"/>
      <c r="DH14" s="1342"/>
      <c r="DI14" s="101">
        <f>'Федеральные  средства  по  МО'!AA15</f>
        <v>0</v>
      </c>
      <c r="DJ14" s="1345">
        <f t="shared" si="35"/>
        <v>0</v>
      </c>
      <c r="DK14" s="1341"/>
      <c r="DL14" s="1342"/>
      <c r="DM14" s="101">
        <f>'Федеральные  средства  по  МО'!AB15</f>
        <v>0</v>
      </c>
      <c r="DN14" s="1350"/>
      <c r="DO14" s="1342"/>
      <c r="DP14" s="1348">
        <f t="shared" si="36"/>
        <v>0</v>
      </c>
      <c r="DQ14" s="101">
        <f>'Федеральные  средства  по  МО'!AC15</f>
        <v>0</v>
      </c>
      <c r="DR14" s="1342"/>
      <c r="DS14" s="1341"/>
      <c r="DT14" s="1348">
        <f t="shared" si="37"/>
        <v>0</v>
      </c>
      <c r="DU14" s="101">
        <f>'Федеральные  средства  по  МО'!AD15</f>
        <v>10550900</v>
      </c>
      <c r="DV14" s="1350">
        <f t="shared" si="22"/>
        <v>10550900</v>
      </c>
      <c r="DW14" s="1342"/>
      <c r="DX14" s="1351"/>
      <c r="DY14" s="101">
        <f>'Федеральные  средства  по  МО'!AE15</f>
        <v>8036778.5099999998</v>
      </c>
      <c r="DZ14" s="1350">
        <f t="shared" si="23"/>
        <v>8036778.5099999998</v>
      </c>
      <c r="EA14" s="1341"/>
      <c r="EB14" s="1342"/>
      <c r="EC14" s="103">
        <f>'Федеральные  средства  по  МО'!AH15</f>
        <v>0</v>
      </c>
      <c r="ED14" s="1348"/>
      <c r="EE14" s="1345">
        <f>'Проверочная  таблица'!HA16</f>
        <v>0</v>
      </c>
      <c r="EF14" s="1347"/>
      <c r="EG14" s="104">
        <f>'Федеральные  средства  по  МО'!AI15</f>
        <v>0</v>
      </c>
      <c r="EH14" s="1348"/>
      <c r="EI14" s="1345">
        <f>'Проверочная  таблица'!HD16</f>
        <v>0</v>
      </c>
      <c r="EJ14" s="1347"/>
      <c r="EK14" s="101">
        <f>'Федеральные  средства  по  МО'!AJ15</f>
        <v>0</v>
      </c>
      <c r="EL14" s="1350"/>
      <c r="EM14" s="1342"/>
      <c r="EN14" s="1351"/>
      <c r="EO14" s="101">
        <f>'Федеральные  средства  по  МО'!AK15</f>
        <v>0</v>
      </c>
      <c r="EP14" s="1342"/>
      <c r="EQ14" s="1341"/>
      <c r="ER14" s="1342"/>
      <c r="ES14" s="103">
        <f>'Федеральные  средства  по  МО'!AL15</f>
        <v>1008356.1</v>
      </c>
      <c r="ET14" s="1345">
        <f>'Проверочная  таблица'!HS16</f>
        <v>65206.61</v>
      </c>
      <c r="EU14" s="1346">
        <f>'Проверочная  таблица'!IG16</f>
        <v>943149.49</v>
      </c>
      <c r="EV14" s="1345">
        <f>'Проверочная  таблица'!IM16</f>
        <v>0</v>
      </c>
      <c r="EW14" s="104">
        <f>'Федеральные  средства  по  МО'!AM15</f>
        <v>949826.23</v>
      </c>
      <c r="EX14" s="1345">
        <f>'Проверочная  таблица'!HV16</f>
        <v>65206.61</v>
      </c>
      <c r="EY14" s="1346">
        <f>'Проверочная  таблица'!IJ16</f>
        <v>884619.62</v>
      </c>
      <c r="EZ14" s="1345">
        <f>'Проверочная  таблица'!IP16</f>
        <v>0</v>
      </c>
      <c r="FA14" s="101">
        <f>'Федеральные  средства  по  МО'!AN15</f>
        <v>21705700</v>
      </c>
      <c r="FB14" s="1342"/>
      <c r="FC14" s="1348">
        <f>'Проверочная  таблица'!JY16</f>
        <v>21705700</v>
      </c>
      <c r="FD14" s="1345">
        <f>'Проверочная  таблица'!KI16</f>
        <v>0</v>
      </c>
      <c r="FE14" s="104">
        <f>'Федеральные  средства  по  МО'!AO15</f>
        <v>2592884.21</v>
      </c>
      <c r="FF14" s="1348"/>
      <c r="FG14" s="1345">
        <f>'Проверочная  таблица'!KD16</f>
        <v>2592884.21</v>
      </c>
      <c r="FH14" s="1347">
        <f>'Проверочная  таблица'!KN16</f>
        <v>0</v>
      </c>
      <c r="FI14" s="104">
        <f>'Федеральные  средства  по  МО'!AP15</f>
        <v>5000387.37</v>
      </c>
      <c r="FJ14" s="1348">
        <f t="shared" si="38"/>
        <v>5000387.37</v>
      </c>
      <c r="FK14" s="1345"/>
      <c r="FL14" s="1347"/>
      <c r="FM14" s="100">
        <f>'Федеральные  средства  по  МО'!AQ15</f>
        <v>5000387.37</v>
      </c>
      <c r="FN14" s="1348">
        <f t="shared" si="24"/>
        <v>5000387.37</v>
      </c>
      <c r="FO14" s="1345"/>
      <c r="FP14" s="1346"/>
      <c r="FQ14" s="103">
        <f>'Федеральные  средства  по  МО'!AT15</f>
        <v>0</v>
      </c>
      <c r="FR14" s="1345">
        <f>'Проверочная  таблица'!IS16</f>
        <v>0</v>
      </c>
      <c r="FS14" s="1346">
        <f>'Проверочная  таблица'!JW16</f>
        <v>0</v>
      </c>
      <c r="FT14" s="1345">
        <f>'Проверочная  таблица'!KG16</f>
        <v>0</v>
      </c>
      <c r="FU14" s="104">
        <f>'Федеральные  средства  по  МО'!AU15</f>
        <v>0</v>
      </c>
      <c r="FV14" s="1345">
        <f>'Проверочная  таблица'!JC16</f>
        <v>0</v>
      </c>
      <c r="FW14" s="1346">
        <f>'Проверочная  таблица'!KB16</f>
        <v>0</v>
      </c>
      <c r="FX14" s="1345">
        <f>'Проверочная  таблица'!KL16</f>
        <v>0</v>
      </c>
      <c r="FY14" s="104">
        <f>'Федеральные  средства  по  МО'!AR15</f>
        <v>0</v>
      </c>
      <c r="FZ14" s="1345">
        <f t="shared" si="39"/>
        <v>0</v>
      </c>
      <c r="GA14" s="1346"/>
      <c r="GB14" s="1348"/>
      <c r="GC14" s="101">
        <f>'Федеральные  средства  по  МО'!AS15</f>
        <v>0</v>
      </c>
      <c r="GD14" s="1345">
        <f t="shared" si="40"/>
        <v>0</v>
      </c>
      <c r="GE14" s="1347"/>
      <c r="GF14" s="1342"/>
      <c r="GG14" s="100">
        <f>'Федеральные  средства  по  МО'!AV15</f>
        <v>0</v>
      </c>
      <c r="GH14" s="1350">
        <f t="shared" si="41"/>
        <v>0</v>
      </c>
      <c r="GI14" s="1342"/>
      <c r="GJ14" s="1351"/>
      <c r="GK14" s="101">
        <f>'Федеральные  средства  по  МО'!AW15</f>
        <v>0</v>
      </c>
      <c r="GL14" s="1350">
        <f t="shared" si="25"/>
        <v>0</v>
      </c>
      <c r="GM14" s="1342"/>
      <c r="GN14" s="1341"/>
      <c r="GO14" s="1340"/>
      <c r="GP14" s="1341"/>
      <c r="GQ14" s="1342"/>
      <c r="GR14" s="1341"/>
      <c r="GS14" s="1343"/>
      <c r="GT14" s="1342"/>
      <c r="GU14" s="1341"/>
      <c r="GV14" s="1342"/>
      <c r="GW14" s="103">
        <f>'Федеральные  средства  по  МО'!AX15</f>
        <v>0</v>
      </c>
      <c r="GX14" s="1348"/>
      <c r="GY14" s="1345"/>
      <c r="GZ14" s="1347">
        <f>'Проверочная  таблица'!MA16</f>
        <v>0</v>
      </c>
      <c r="HA14" s="104">
        <f>'Федеральные  средства  по  МО'!AY15</f>
        <v>0</v>
      </c>
      <c r="HB14" s="1348"/>
      <c r="HC14" s="1345"/>
      <c r="HD14" s="1347">
        <f>'Проверочная  таблица'!ME16</f>
        <v>0</v>
      </c>
      <c r="HE14" s="104">
        <f>'Федеральные  средства  по  МО'!BD15</f>
        <v>28724600</v>
      </c>
      <c r="HF14" s="1348"/>
      <c r="HG14" s="1345">
        <f t="shared" si="42"/>
        <v>28724600</v>
      </c>
      <c r="HH14" s="1347"/>
      <c r="HI14" s="100">
        <f>'Федеральные  средства  по  МО'!BE15</f>
        <v>11283835.609999999</v>
      </c>
      <c r="HJ14" s="1348"/>
      <c r="HK14" s="1345">
        <f t="shared" si="43"/>
        <v>11283835.609999999</v>
      </c>
      <c r="HL14" s="1347"/>
      <c r="HM14" s="103">
        <f>'Федеральные  средства  по  МО'!AZ15</f>
        <v>2347567.15</v>
      </c>
      <c r="HN14" s="1348"/>
      <c r="HO14" s="1345">
        <f t="shared" si="44"/>
        <v>2347567.15</v>
      </c>
      <c r="HP14" s="1347"/>
      <c r="HQ14" s="100">
        <f>'Федеральные  средства  по  МО'!BA15</f>
        <v>1509530.69</v>
      </c>
      <c r="HR14" s="1348"/>
      <c r="HS14" s="1345">
        <f t="shared" si="45"/>
        <v>1509530.69</v>
      </c>
      <c r="HT14" s="1346"/>
      <c r="HU14" s="103">
        <f>'Федеральные  средства  по  МО'!AF15</f>
        <v>4779241</v>
      </c>
      <c r="HV14" s="1345"/>
      <c r="HW14" s="1346">
        <f t="shared" si="46"/>
        <v>4779241</v>
      </c>
      <c r="HX14" s="1345"/>
      <c r="HY14" s="104">
        <f>'Федеральные  средства  по  МО'!AG15</f>
        <v>0</v>
      </c>
      <c r="HZ14" s="1345"/>
      <c r="IA14" s="1346">
        <f t="shared" si="47"/>
        <v>0</v>
      </c>
      <c r="IB14" s="1345"/>
      <c r="IC14" s="104">
        <f>'Федеральные  средства  по  МО'!BH15</f>
        <v>0</v>
      </c>
      <c r="ID14" s="1345">
        <f>'Проверочная  таблица'!NU16</f>
        <v>0</v>
      </c>
      <c r="IE14" s="1346"/>
      <c r="IF14" s="1345"/>
      <c r="IG14" s="104">
        <f>'Федеральные  средства  по  МО'!BI15</f>
        <v>0</v>
      </c>
      <c r="IH14" s="1345">
        <f>'Проверочная  таблица'!OB16</f>
        <v>0</v>
      </c>
      <c r="II14" s="1346"/>
      <c r="IJ14" s="1345"/>
      <c r="IK14" s="104">
        <f>'Федеральные  средства  по  МО'!BJ15</f>
        <v>121458400</v>
      </c>
      <c r="IL14" s="1348">
        <f>'Проверочная  таблица'!NW16</f>
        <v>121458400</v>
      </c>
      <c r="IM14" s="1345">
        <f>'Проверочная  таблица'!OY16</f>
        <v>0</v>
      </c>
      <c r="IN14" s="1347"/>
      <c r="IO14" s="104">
        <f>'Федеральные  средства  по  МО'!BK15</f>
        <v>76598914.24000001</v>
      </c>
      <c r="IP14" s="1348">
        <f>'Проверочная  таблица'!OD16</f>
        <v>76598914.24000001</v>
      </c>
      <c r="IQ14" s="1345">
        <f>'Проверочная  таблица'!OR16</f>
        <v>0</v>
      </c>
      <c r="IR14" s="1347"/>
      <c r="IS14" s="100">
        <f>'Федеральные  средства  по  МО'!BB15</f>
        <v>0</v>
      </c>
      <c r="IT14" s="1350"/>
      <c r="IU14" s="1342"/>
      <c r="IV14" s="1351"/>
      <c r="IW14" s="101">
        <f>'Федеральные  средства  по  МО'!BC15</f>
        <v>0</v>
      </c>
      <c r="IX14" s="1342"/>
      <c r="IY14" s="1341"/>
      <c r="IZ14" s="1342"/>
      <c r="JA14" s="101">
        <f>'Федеральные  средства  по  МО'!BF15</f>
        <v>0</v>
      </c>
      <c r="JB14" s="1350"/>
      <c r="JC14" s="1342"/>
      <c r="JD14" s="1351"/>
      <c r="JE14" s="101">
        <f>'Федеральные  средства  по  МО'!BG15</f>
        <v>0</v>
      </c>
      <c r="JF14" s="1342"/>
      <c r="JG14" s="1341"/>
      <c r="JH14" s="1342"/>
      <c r="JI14" s="103">
        <f>'Федеральные  средства  по  МО'!BL15</f>
        <v>0</v>
      </c>
      <c r="JJ14" s="1345">
        <f>'Проверочная  таблица'!PW16</f>
        <v>0</v>
      </c>
      <c r="JK14" s="1346">
        <f>'Проверочная  таблица'!QI16</f>
        <v>0</v>
      </c>
      <c r="JL14" s="1345"/>
      <c r="JM14" s="104">
        <f>'Федеральные  средства  по  МО'!BM15</f>
        <v>0</v>
      </c>
      <c r="JN14" s="1345">
        <f>'Проверочная  таблица'!PZ16</f>
        <v>0</v>
      </c>
      <c r="JO14" s="1346">
        <f>'Проверочная  таблица'!QL16</f>
        <v>0</v>
      </c>
      <c r="JP14" s="1345"/>
    </row>
    <row r="15" spans="1:276" ht="25.5" customHeight="1" x14ac:dyDescent="0.25">
      <c r="A15" s="102" t="s">
        <v>84</v>
      </c>
      <c r="B15" s="278">
        <f t="shared" si="26"/>
        <v>5217451.7</v>
      </c>
      <c r="C15" s="1329">
        <f t="shared" si="0"/>
        <v>2467806.5</v>
      </c>
      <c r="D15" s="1329">
        <f t="shared" si="0"/>
        <v>2749645.2</v>
      </c>
      <c r="E15" s="1329">
        <f t="shared" si="0"/>
        <v>0</v>
      </c>
      <c r="F15" s="278">
        <f t="shared" si="27"/>
        <v>1890086.09</v>
      </c>
      <c r="G15" s="1329">
        <f t="shared" si="28"/>
        <v>619429.79</v>
      </c>
      <c r="H15" s="1329">
        <f t="shared" si="28"/>
        <v>1270656.3</v>
      </c>
      <c r="I15" s="1329">
        <f t="shared" si="28"/>
        <v>0</v>
      </c>
      <c r="J15" s="105"/>
      <c r="K15" s="1330">
        <f>M15-'Федеральные  средства  по  МО'!D16</f>
        <v>0</v>
      </c>
      <c r="L15" s="1330">
        <f>Q15-'Федеральные  средства  по  МО'!E16</f>
        <v>0</v>
      </c>
      <c r="M15" s="278">
        <f t="shared" si="1"/>
        <v>5217451.7</v>
      </c>
      <c r="N15" s="1329">
        <f t="shared" si="2"/>
        <v>2467806.5</v>
      </c>
      <c r="O15" s="1329">
        <f t="shared" si="3"/>
        <v>2749645.2</v>
      </c>
      <c r="P15" s="1329">
        <f t="shared" si="4"/>
        <v>0</v>
      </c>
      <c r="Q15" s="278">
        <f t="shared" si="5"/>
        <v>1890086.09</v>
      </c>
      <c r="R15" s="1329">
        <f t="shared" si="6"/>
        <v>619429.79</v>
      </c>
      <c r="S15" s="1329">
        <f t="shared" si="7"/>
        <v>1270656.3</v>
      </c>
      <c r="T15" s="1329">
        <f t="shared" si="8"/>
        <v>0</v>
      </c>
      <c r="U15" s="103"/>
      <c r="V15" s="1345"/>
      <c r="W15" s="1346"/>
      <c r="X15" s="1345"/>
      <c r="Y15" s="101"/>
      <c r="Z15" s="1346"/>
      <c r="AA15" s="1345"/>
      <c r="AB15" s="1346"/>
      <c r="AC15" s="103">
        <f>'Федеральные  средства  по  МО'!F16</f>
        <v>0</v>
      </c>
      <c r="AD15" s="1348">
        <f>'Проверочная  таблица'!CS17</f>
        <v>0</v>
      </c>
      <c r="AE15" s="1345">
        <f>'Проверочная  таблица'!CW17</f>
        <v>0</v>
      </c>
      <c r="AF15" s="1347">
        <f>'Проверочная  таблица'!CY17</f>
        <v>0</v>
      </c>
      <c r="AG15" s="104">
        <f>'Федеральные  средства  по  МО'!G16</f>
        <v>0</v>
      </c>
      <c r="AH15" s="1348">
        <f>'Проверочная  таблица'!CT17</f>
        <v>0</v>
      </c>
      <c r="AI15" s="1345">
        <f>'Проверочная  таблица'!CX17</f>
        <v>0</v>
      </c>
      <c r="AJ15" s="1347">
        <f>'Проверочная  таблица'!CZ17</f>
        <v>0</v>
      </c>
      <c r="AK15" s="104">
        <f>'Федеральные  средства  по  МО'!H16</f>
        <v>0</v>
      </c>
      <c r="AL15" s="1345">
        <f t="shared" si="29"/>
        <v>0</v>
      </c>
      <c r="AM15" s="1346"/>
      <c r="AN15" s="1348"/>
      <c r="AO15" s="101">
        <f>'Федеральные  средства  по  МО'!I16</f>
        <v>0</v>
      </c>
      <c r="AP15" s="1345">
        <f t="shared" si="30"/>
        <v>0</v>
      </c>
      <c r="AQ15" s="1345"/>
      <c r="AR15" s="1346"/>
      <c r="AS15" s="101">
        <f>'Федеральные  средства  по  МО'!J16</f>
        <v>0</v>
      </c>
      <c r="AT15" s="1347">
        <f t="shared" si="9"/>
        <v>0</v>
      </c>
      <c r="AU15" s="1345"/>
      <c r="AV15" s="1346"/>
      <c r="AW15" s="101">
        <f>'Федеральные  средства  по  МО'!K16</f>
        <v>0</v>
      </c>
      <c r="AX15" s="1347">
        <f t="shared" si="10"/>
        <v>0</v>
      </c>
      <c r="AY15" s="1346"/>
      <c r="AZ15" s="1348"/>
      <c r="BA15" s="101">
        <f>'Федеральные  средства  по  МО'!L16</f>
        <v>0</v>
      </c>
      <c r="BB15" s="1347">
        <f t="shared" si="11"/>
        <v>0</v>
      </c>
      <c r="BC15" s="1346"/>
      <c r="BD15" s="1348"/>
      <c r="BE15" s="101">
        <f>'Федеральные  средства  по  МО'!M16</f>
        <v>0</v>
      </c>
      <c r="BF15" s="1347">
        <f t="shared" si="12"/>
        <v>0</v>
      </c>
      <c r="BG15" s="1345"/>
      <c r="BH15" s="1346"/>
      <c r="BI15" s="101">
        <f>'Федеральные  средства  по  МО'!N16</f>
        <v>0</v>
      </c>
      <c r="BJ15" s="1347">
        <f t="shared" si="13"/>
        <v>0</v>
      </c>
      <c r="BK15" s="1345"/>
      <c r="BL15" s="1346"/>
      <c r="BM15" s="101">
        <f>'Федеральные  средства  по  МО'!O16</f>
        <v>0</v>
      </c>
      <c r="BN15" s="1347">
        <f t="shared" si="14"/>
        <v>0</v>
      </c>
      <c r="BO15" s="1345"/>
      <c r="BP15" s="1346"/>
      <c r="BQ15" s="101">
        <f>'Федеральные  средства  по  МО'!P16</f>
        <v>2305650</v>
      </c>
      <c r="BR15" s="1347">
        <f t="shared" si="15"/>
        <v>2305650</v>
      </c>
      <c r="BS15" s="1345"/>
      <c r="BT15" s="1346"/>
      <c r="BU15" s="101">
        <f>'Федеральные  средства  по  МО'!Q16</f>
        <v>457273.29</v>
      </c>
      <c r="BV15" s="1347">
        <f t="shared" si="16"/>
        <v>457273.29</v>
      </c>
      <c r="BW15" s="1345"/>
      <c r="BX15" s="1346"/>
      <c r="BY15" s="101">
        <f>'Федеральные  средства  по  МО'!R16</f>
        <v>0</v>
      </c>
      <c r="BZ15" s="1347">
        <f t="shared" si="17"/>
        <v>0</v>
      </c>
      <c r="CA15" s="1346"/>
      <c r="CB15" s="1348"/>
      <c r="CC15" s="101">
        <f>'Федеральные  средства  по  МО'!S16</f>
        <v>0</v>
      </c>
      <c r="CD15" s="1347">
        <f t="shared" si="18"/>
        <v>0</v>
      </c>
      <c r="CE15" s="1345"/>
      <c r="CF15" s="1346"/>
      <c r="CG15" s="103">
        <f>'Федеральные  средства  по  МО'!T16</f>
        <v>0</v>
      </c>
      <c r="CH15" s="1345">
        <f t="shared" si="31"/>
        <v>0</v>
      </c>
      <c r="CI15" s="1346"/>
      <c r="CJ15" s="1345"/>
      <c r="CK15" s="104">
        <f>'Федеральные  средства  по  МО'!U16</f>
        <v>0</v>
      </c>
      <c r="CL15" s="1345">
        <f t="shared" si="32"/>
        <v>0</v>
      </c>
      <c r="CM15" s="1346"/>
      <c r="CN15" s="1345"/>
      <c r="CO15" s="100">
        <f>'Федеральные  средства  по  МО'!V16</f>
        <v>0</v>
      </c>
      <c r="CP15" s="1347"/>
      <c r="CQ15" s="1346"/>
      <c r="CR15" s="1348"/>
      <c r="CS15" s="101">
        <f>'Федеральные  средства  по  МО'!W16</f>
        <v>0</v>
      </c>
      <c r="CT15" s="1346"/>
      <c r="CU15" s="1345"/>
      <c r="CV15" s="1346"/>
      <c r="CW15" s="101">
        <f>'Федеральные  средства  по  МО'!X16</f>
        <v>0</v>
      </c>
      <c r="CX15" s="1347">
        <f t="shared" si="21"/>
        <v>0</v>
      </c>
      <c r="CY15" s="1346"/>
      <c r="CZ15" s="1348"/>
      <c r="DA15" s="101">
        <f>'Федеральные  средства  по  МО'!Y16</f>
        <v>0</v>
      </c>
      <c r="DB15" s="1347">
        <f t="shared" si="33"/>
        <v>0</v>
      </c>
      <c r="DC15" s="1345"/>
      <c r="DD15" s="1346"/>
      <c r="DE15" s="103">
        <f>'Федеральные  средства  по  МО'!Z16</f>
        <v>0</v>
      </c>
      <c r="DF15" s="1345">
        <f t="shared" si="34"/>
        <v>0</v>
      </c>
      <c r="DG15" s="1347"/>
      <c r="DH15" s="1346"/>
      <c r="DI15" s="101">
        <f>'Федеральные  средства  по  МО'!AA16</f>
        <v>0</v>
      </c>
      <c r="DJ15" s="1345">
        <f t="shared" si="35"/>
        <v>0</v>
      </c>
      <c r="DK15" s="1345"/>
      <c r="DL15" s="1346"/>
      <c r="DM15" s="101">
        <f>'Федеральные  средства  по  МО'!AB16</f>
        <v>0</v>
      </c>
      <c r="DN15" s="1347"/>
      <c r="DO15" s="1346"/>
      <c r="DP15" s="1348">
        <f t="shared" si="36"/>
        <v>0</v>
      </c>
      <c r="DQ15" s="101">
        <f>'Федеральные  средства  по  МО'!AC16</f>
        <v>0</v>
      </c>
      <c r="DR15" s="1346"/>
      <c r="DS15" s="1345"/>
      <c r="DT15" s="1348">
        <f t="shared" si="37"/>
        <v>0</v>
      </c>
      <c r="DU15" s="101">
        <f>'Федеральные  средства  по  МО'!AD16</f>
        <v>0</v>
      </c>
      <c r="DV15" s="1347">
        <f t="shared" si="22"/>
        <v>0</v>
      </c>
      <c r="DW15" s="1346"/>
      <c r="DX15" s="1348"/>
      <c r="DY15" s="101">
        <f>'Федеральные  средства  по  МО'!AE16</f>
        <v>0</v>
      </c>
      <c r="DZ15" s="1347">
        <f t="shared" si="23"/>
        <v>0</v>
      </c>
      <c r="EA15" s="1345"/>
      <c r="EB15" s="1346"/>
      <c r="EC15" s="103">
        <f>'Федеральные  средства  по  МО'!AH16</f>
        <v>759463.75</v>
      </c>
      <c r="ED15" s="1348"/>
      <c r="EE15" s="1345">
        <f>'Проверочная  таблица'!HA17</f>
        <v>759463.75</v>
      </c>
      <c r="EF15" s="1347"/>
      <c r="EG15" s="104">
        <f>'Федеральные  средства  по  МО'!AI16</f>
        <v>171277.99</v>
      </c>
      <c r="EH15" s="1348"/>
      <c r="EI15" s="1345">
        <f>'Проверочная  таблица'!HD17</f>
        <v>171277.99</v>
      </c>
      <c r="EJ15" s="1347"/>
      <c r="EK15" s="101">
        <f>'Федеральные  средства  по  МО'!AJ16</f>
        <v>0</v>
      </c>
      <c r="EL15" s="1347"/>
      <c r="EM15" s="1346"/>
      <c r="EN15" s="1348"/>
      <c r="EO15" s="101">
        <f>'Федеральные  средства  по  МО'!AK16</f>
        <v>0</v>
      </c>
      <c r="EP15" s="1346"/>
      <c r="EQ15" s="1345"/>
      <c r="ER15" s="1346"/>
      <c r="ES15" s="103">
        <f>'Федеральные  средства  по  МО'!AL16</f>
        <v>1261534.81</v>
      </c>
      <c r="ET15" s="1345">
        <f>'Проверочная  таблица'!HS17</f>
        <v>162156.5</v>
      </c>
      <c r="EU15" s="1346">
        <f>'Проверочная  таблица'!IG17</f>
        <v>1099378.31</v>
      </c>
      <c r="EV15" s="1345">
        <f>'Проверочная  таблица'!IM17</f>
        <v>0</v>
      </c>
      <c r="EW15" s="104">
        <f>'Федеральные  средства  по  МО'!AM16</f>
        <v>1261534.81</v>
      </c>
      <c r="EX15" s="1345">
        <f>'Проверочная  таблица'!HV17</f>
        <v>162156.5</v>
      </c>
      <c r="EY15" s="1346">
        <f>'Проверочная  таблица'!IJ17</f>
        <v>1099378.31</v>
      </c>
      <c r="EZ15" s="1345">
        <f>'Проверочная  таблица'!IP17</f>
        <v>0</v>
      </c>
      <c r="FA15" s="101">
        <f>'Федеральные  средства  по  МО'!AN16</f>
        <v>0</v>
      </c>
      <c r="FB15" s="1346"/>
      <c r="FC15" s="1348">
        <f>'Проверочная  таблица'!JY17</f>
        <v>0</v>
      </c>
      <c r="FD15" s="1345">
        <f>'Проверочная  таблица'!KI17</f>
        <v>0</v>
      </c>
      <c r="FE15" s="104">
        <f>'Федеральные  средства  по  МО'!AO16</f>
        <v>0</v>
      </c>
      <c r="FF15" s="1348"/>
      <c r="FG15" s="1345">
        <f>'Проверочная  таблица'!KD17</f>
        <v>0</v>
      </c>
      <c r="FH15" s="1347">
        <f>'Проверочная  таблица'!KN17</f>
        <v>0</v>
      </c>
      <c r="FI15" s="104">
        <f>'Федеральные  средства  по  МО'!AP16</f>
        <v>0</v>
      </c>
      <c r="FJ15" s="1348">
        <f t="shared" si="38"/>
        <v>0</v>
      </c>
      <c r="FK15" s="1345"/>
      <c r="FL15" s="1347"/>
      <c r="FM15" s="100">
        <f>'Федеральные  средства  по  МО'!AQ16</f>
        <v>0</v>
      </c>
      <c r="FN15" s="1348">
        <f t="shared" si="24"/>
        <v>0</v>
      </c>
      <c r="FO15" s="1345"/>
      <c r="FP15" s="1346"/>
      <c r="FQ15" s="103">
        <f>'Федеральные  средства  по  МО'!AT16</f>
        <v>0</v>
      </c>
      <c r="FR15" s="1345">
        <f>'Проверочная  таблица'!IS17</f>
        <v>0</v>
      </c>
      <c r="FS15" s="1346">
        <f>'Проверочная  таблица'!JW17</f>
        <v>0</v>
      </c>
      <c r="FT15" s="1345">
        <f>'Проверочная  таблица'!KG17</f>
        <v>0</v>
      </c>
      <c r="FU15" s="104">
        <f>'Федеральные  средства  по  МО'!AU16</f>
        <v>0</v>
      </c>
      <c r="FV15" s="1345">
        <f>'Проверочная  таблица'!JC17</f>
        <v>0</v>
      </c>
      <c r="FW15" s="1346">
        <f>'Проверочная  таблица'!KB17</f>
        <v>0</v>
      </c>
      <c r="FX15" s="1345">
        <f>'Проверочная  таблица'!KL17</f>
        <v>0</v>
      </c>
      <c r="FY15" s="104">
        <f>'Федеральные  средства  по  МО'!AR16</f>
        <v>0</v>
      </c>
      <c r="FZ15" s="1345">
        <f t="shared" si="39"/>
        <v>0</v>
      </c>
      <c r="GA15" s="1346"/>
      <c r="GB15" s="1348"/>
      <c r="GC15" s="101">
        <f>'Федеральные  средства  по  МО'!AS16</f>
        <v>0</v>
      </c>
      <c r="GD15" s="1345">
        <f t="shared" si="40"/>
        <v>0</v>
      </c>
      <c r="GE15" s="1347"/>
      <c r="GF15" s="1346"/>
      <c r="GG15" s="100">
        <f>'Федеральные  средства  по  МО'!AV16</f>
        <v>0</v>
      </c>
      <c r="GH15" s="1347">
        <f t="shared" si="41"/>
        <v>0</v>
      </c>
      <c r="GI15" s="1346"/>
      <c r="GJ15" s="1348"/>
      <c r="GK15" s="101">
        <f>'Федеральные  средства  по  МО'!AW16</f>
        <v>0</v>
      </c>
      <c r="GL15" s="1347">
        <f t="shared" si="25"/>
        <v>0</v>
      </c>
      <c r="GM15" s="1346"/>
      <c r="GN15" s="1345"/>
      <c r="GO15" s="104"/>
      <c r="GP15" s="1345"/>
      <c r="GQ15" s="1346"/>
      <c r="GR15" s="1345"/>
      <c r="GS15" s="100"/>
      <c r="GT15" s="1346"/>
      <c r="GU15" s="1345"/>
      <c r="GV15" s="1346"/>
      <c r="GW15" s="103">
        <f>'Федеральные  средства  по  МО'!AX16</f>
        <v>0</v>
      </c>
      <c r="GX15" s="1348"/>
      <c r="GY15" s="1345"/>
      <c r="GZ15" s="1347">
        <f>'Проверочная  таблица'!MA17</f>
        <v>0</v>
      </c>
      <c r="HA15" s="104">
        <f>'Федеральные  средства  по  МО'!AY16</f>
        <v>0</v>
      </c>
      <c r="HB15" s="1348"/>
      <c r="HC15" s="1345"/>
      <c r="HD15" s="1347">
        <f>'Проверочная  таблица'!ME17</f>
        <v>0</v>
      </c>
      <c r="HE15" s="104">
        <f>'Федеральные  средства  по  МО'!BD16</f>
        <v>0</v>
      </c>
      <c r="HF15" s="1348"/>
      <c r="HG15" s="1345">
        <f t="shared" si="42"/>
        <v>0</v>
      </c>
      <c r="HH15" s="1347"/>
      <c r="HI15" s="100">
        <f>'Федеральные  средства  по  МО'!BE16</f>
        <v>0</v>
      </c>
      <c r="HJ15" s="1348"/>
      <c r="HK15" s="1345">
        <f t="shared" si="43"/>
        <v>0</v>
      </c>
      <c r="HL15" s="1347"/>
      <c r="HM15" s="103">
        <f>'Федеральные  средства  по  МО'!AZ16</f>
        <v>890803.1399999999</v>
      </c>
      <c r="HN15" s="1348"/>
      <c r="HO15" s="1345">
        <f t="shared" si="44"/>
        <v>890803.1399999999</v>
      </c>
      <c r="HP15" s="1347"/>
      <c r="HQ15" s="100">
        <f>'Федеральные  средства  по  МО'!BA16</f>
        <v>0</v>
      </c>
      <c r="HR15" s="1348"/>
      <c r="HS15" s="1345">
        <f t="shared" si="45"/>
        <v>0</v>
      </c>
      <c r="HT15" s="1346"/>
      <c r="HU15" s="103">
        <f>'Федеральные  средства  по  МО'!AF16</f>
        <v>0</v>
      </c>
      <c r="HV15" s="1345"/>
      <c r="HW15" s="1346">
        <f t="shared" si="46"/>
        <v>0</v>
      </c>
      <c r="HX15" s="1345"/>
      <c r="HY15" s="104">
        <f>'Федеральные  средства  по  МО'!AG16</f>
        <v>0</v>
      </c>
      <c r="HZ15" s="1345"/>
      <c r="IA15" s="1346">
        <f t="shared" si="47"/>
        <v>0</v>
      </c>
      <c r="IB15" s="1345"/>
      <c r="IC15" s="104">
        <f>'Федеральные  средства  по  МО'!BH16</f>
        <v>0</v>
      </c>
      <c r="ID15" s="1345">
        <f>'Проверочная  таблица'!NU17</f>
        <v>0</v>
      </c>
      <c r="IE15" s="1346"/>
      <c r="IF15" s="1345"/>
      <c r="IG15" s="104">
        <f>'Федеральные  средства  по  МО'!BI16</f>
        <v>0</v>
      </c>
      <c r="IH15" s="1345">
        <f>'Проверочная  таблица'!OB17</f>
        <v>0</v>
      </c>
      <c r="II15" s="1346"/>
      <c r="IJ15" s="1345"/>
      <c r="IK15" s="104">
        <f>'Федеральные  средства  по  МО'!BJ16</f>
        <v>0</v>
      </c>
      <c r="IL15" s="1348">
        <f>'Проверочная  таблица'!NW17</f>
        <v>0</v>
      </c>
      <c r="IM15" s="1345">
        <f>'Проверочная  таблица'!OY17</f>
        <v>0</v>
      </c>
      <c r="IN15" s="1347"/>
      <c r="IO15" s="104">
        <f>'Федеральные  средства  по  МО'!BK16</f>
        <v>0</v>
      </c>
      <c r="IP15" s="1348">
        <f>'Проверочная  таблица'!OD17</f>
        <v>0</v>
      </c>
      <c r="IQ15" s="1345">
        <f>'Проверочная  таблица'!OR17</f>
        <v>0</v>
      </c>
      <c r="IR15" s="1347"/>
      <c r="IS15" s="100">
        <f>'Федеральные  средства  по  МО'!BB16</f>
        <v>0</v>
      </c>
      <c r="IT15" s="1347"/>
      <c r="IU15" s="1346"/>
      <c r="IV15" s="1348"/>
      <c r="IW15" s="101">
        <f>'Федеральные  средства  по  МО'!BC16</f>
        <v>0</v>
      </c>
      <c r="IX15" s="1346"/>
      <c r="IY15" s="1345"/>
      <c r="IZ15" s="1346"/>
      <c r="JA15" s="101">
        <f>'Федеральные  средства  по  МО'!BF16</f>
        <v>0</v>
      </c>
      <c r="JB15" s="1347"/>
      <c r="JC15" s="1346"/>
      <c r="JD15" s="1348"/>
      <c r="JE15" s="101">
        <f>'Федеральные  средства  по  МО'!BG16</f>
        <v>0</v>
      </c>
      <c r="JF15" s="1346"/>
      <c r="JG15" s="1345"/>
      <c r="JH15" s="1346"/>
      <c r="JI15" s="103">
        <f>'Федеральные  средства  по  МО'!BL16</f>
        <v>0</v>
      </c>
      <c r="JJ15" s="1345">
        <f>'Проверочная  таблица'!PW17</f>
        <v>0</v>
      </c>
      <c r="JK15" s="1346">
        <f>'Проверочная  таблица'!QI17</f>
        <v>0</v>
      </c>
      <c r="JL15" s="1345"/>
      <c r="JM15" s="104">
        <f>'Федеральные  средства  по  МО'!BM16</f>
        <v>0</v>
      </c>
      <c r="JN15" s="1345">
        <f>'Проверочная  таблица'!PZ17</f>
        <v>0</v>
      </c>
      <c r="JO15" s="1346">
        <f>'Проверочная  таблица'!QL17</f>
        <v>0</v>
      </c>
      <c r="JP15" s="1345"/>
    </row>
    <row r="16" spans="1:276" ht="25.5" customHeight="1" x14ac:dyDescent="0.25">
      <c r="A16" s="105" t="s">
        <v>85</v>
      </c>
      <c r="B16" s="278">
        <f t="shared" si="26"/>
        <v>220417424.18000001</v>
      </c>
      <c r="C16" s="1329">
        <f t="shared" si="0"/>
        <v>217186593.09</v>
      </c>
      <c r="D16" s="1329">
        <f t="shared" si="0"/>
        <v>3230831.09</v>
      </c>
      <c r="E16" s="1329">
        <f t="shared" si="0"/>
        <v>0</v>
      </c>
      <c r="F16" s="278">
        <f t="shared" si="27"/>
        <v>40510736.730000004</v>
      </c>
      <c r="G16" s="1329">
        <f t="shared" si="28"/>
        <v>37962412.780000001</v>
      </c>
      <c r="H16" s="1329">
        <f t="shared" si="28"/>
        <v>2548323.9500000002</v>
      </c>
      <c r="I16" s="1329">
        <f t="shared" si="28"/>
        <v>0</v>
      </c>
      <c r="J16" s="105"/>
      <c r="K16" s="1330">
        <f>M16-'Федеральные  средства  по  МО'!D17</f>
        <v>0</v>
      </c>
      <c r="L16" s="1330">
        <f>Q16-'Федеральные  средства  по  МО'!E17</f>
        <v>0</v>
      </c>
      <c r="M16" s="278">
        <f t="shared" si="1"/>
        <v>241225593.77000001</v>
      </c>
      <c r="N16" s="1329">
        <f t="shared" si="2"/>
        <v>237994762.68000001</v>
      </c>
      <c r="O16" s="1329">
        <f t="shared" si="3"/>
        <v>3230831.09</v>
      </c>
      <c r="P16" s="1329">
        <f t="shared" si="4"/>
        <v>0</v>
      </c>
      <c r="Q16" s="278">
        <f t="shared" si="5"/>
        <v>48702208.620000005</v>
      </c>
      <c r="R16" s="1329">
        <f t="shared" si="6"/>
        <v>46153884.670000002</v>
      </c>
      <c r="S16" s="1329">
        <f t="shared" si="7"/>
        <v>2548323.9500000002</v>
      </c>
      <c r="T16" s="1329">
        <f t="shared" si="8"/>
        <v>0</v>
      </c>
      <c r="U16" s="103"/>
      <c r="V16" s="1345"/>
      <c r="W16" s="1346"/>
      <c r="X16" s="1345"/>
      <c r="Y16" s="101"/>
      <c r="Z16" s="1346"/>
      <c r="AA16" s="1345"/>
      <c r="AB16" s="1346"/>
      <c r="AC16" s="103">
        <f>'Федеральные  средства  по  МО'!F17</f>
        <v>20808169.59</v>
      </c>
      <c r="AD16" s="1348">
        <f>'Проверочная  таблица'!CS18</f>
        <v>20808169.59</v>
      </c>
      <c r="AE16" s="1345">
        <f>'Проверочная  таблица'!CW18</f>
        <v>0</v>
      </c>
      <c r="AF16" s="1347">
        <f>'Проверочная  таблица'!CY18</f>
        <v>0</v>
      </c>
      <c r="AG16" s="104">
        <f>'Федеральные  средства  по  МО'!G17</f>
        <v>8191471.8899999997</v>
      </c>
      <c r="AH16" s="1348">
        <f>'Проверочная  таблица'!CT18</f>
        <v>8191471.8899999997</v>
      </c>
      <c r="AI16" s="1345">
        <f>'Проверочная  таблица'!CX18</f>
        <v>0</v>
      </c>
      <c r="AJ16" s="1347">
        <f>'Проверочная  таблица'!CZ18</f>
        <v>0</v>
      </c>
      <c r="AK16" s="104">
        <f>'Федеральные  средства  по  МО'!H17</f>
        <v>0</v>
      </c>
      <c r="AL16" s="1345">
        <f t="shared" si="29"/>
        <v>0</v>
      </c>
      <c r="AM16" s="1342"/>
      <c r="AN16" s="1351"/>
      <c r="AO16" s="101">
        <f>'Федеральные  средства  по  МО'!I17</f>
        <v>0</v>
      </c>
      <c r="AP16" s="1345">
        <f t="shared" si="30"/>
        <v>0</v>
      </c>
      <c r="AQ16" s="1341"/>
      <c r="AR16" s="1342"/>
      <c r="AS16" s="101">
        <f>'Федеральные  средства  по  МО'!J17</f>
        <v>0</v>
      </c>
      <c r="AT16" s="1350">
        <f t="shared" si="9"/>
        <v>0</v>
      </c>
      <c r="AU16" s="1341"/>
      <c r="AV16" s="1342"/>
      <c r="AW16" s="101">
        <f>'Федеральные  средства  по  МО'!K17</f>
        <v>0</v>
      </c>
      <c r="AX16" s="1350">
        <f t="shared" si="10"/>
        <v>0</v>
      </c>
      <c r="AY16" s="1342"/>
      <c r="AZ16" s="1351"/>
      <c r="BA16" s="101">
        <f>'Федеральные  средства  по  МО'!L17</f>
        <v>0</v>
      </c>
      <c r="BB16" s="1350">
        <f t="shared" si="11"/>
        <v>0</v>
      </c>
      <c r="BC16" s="1342"/>
      <c r="BD16" s="1351"/>
      <c r="BE16" s="101">
        <f>'Федеральные  средства  по  МО'!M17</f>
        <v>0</v>
      </c>
      <c r="BF16" s="1350">
        <f t="shared" si="12"/>
        <v>0</v>
      </c>
      <c r="BG16" s="1341"/>
      <c r="BH16" s="1342"/>
      <c r="BI16" s="101">
        <f>'Федеральные  средства  по  МО'!N17</f>
        <v>2685700</v>
      </c>
      <c r="BJ16" s="1350">
        <f t="shared" si="13"/>
        <v>2685700</v>
      </c>
      <c r="BK16" s="1341"/>
      <c r="BL16" s="1342"/>
      <c r="BM16" s="101">
        <f>'Федеральные  средства  по  МО'!O17</f>
        <v>0</v>
      </c>
      <c r="BN16" s="1350">
        <f t="shared" si="14"/>
        <v>0</v>
      </c>
      <c r="BO16" s="1341"/>
      <c r="BP16" s="1342"/>
      <c r="BQ16" s="101">
        <f>'Федеральные  средства  по  МО'!P17</f>
        <v>0</v>
      </c>
      <c r="BR16" s="1350">
        <f t="shared" si="15"/>
        <v>0</v>
      </c>
      <c r="BS16" s="1341"/>
      <c r="BT16" s="1342"/>
      <c r="BU16" s="101">
        <f>'Федеральные  средства  по  МО'!Q17</f>
        <v>0</v>
      </c>
      <c r="BV16" s="1350">
        <f t="shared" si="16"/>
        <v>0</v>
      </c>
      <c r="BW16" s="1341"/>
      <c r="BX16" s="1342"/>
      <c r="BY16" s="101">
        <f>'Федеральные  средства  по  МО'!R17</f>
        <v>0</v>
      </c>
      <c r="BZ16" s="1350">
        <f t="shared" si="17"/>
        <v>0</v>
      </c>
      <c r="CA16" s="1342"/>
      <c r="CB16" s="1351"/>
      <c r="CC16" s="101">
        <f>'Федеральные  средства  по  МО'!S17</f>
        <v>0</v>
      </c>
      <c r="CD16" s="1350">
        <f t="shared" si="18"/>
        <v>0</v>
      </c>
      <c r="CE16" s="1341"/>
      <c r="CF16" s="1342"/>
      <c r="CG16" s="103">
        <f>'Федеральные  средства  по  МО'!T17</f>
        <v>0</v>
      </c>
      <c r="CH16" s="1345">
        <f t="shared" si="31"/>
        <v>0</v>
      </c>
      <c r="CI16" s="1346"/>
      <c r="CJ16" s="1345"/>
      <c r="CK16" s="104">
        <f>'Федеральные  средства  по  МО'!U17</f>
        <v>0</v>
      </c>
      <c r="CL16" s="1345">
        <f t="shared" si="32"/>
        <v>0</v>
      </c>
      <c r="CM16" s="1346"/>
      <c r="CN16" s="1345"/>
      <c r="CO16" s="100">
        <f>'Федеральные  средства  по  МО'!V17</f>
        <v>0</v>
      </c>
      <c r="CP16" s="1350"/>
      <c r="CQ16" s="1342"/>
      <c r="CR16" s="1351"/>
      <c r="CS16" s="101">
        <f>'Федеральные  средства  по  МО'!W17</f>
        <v>0</v>
      </c>
      <c r="CT16" s="1342"/>
      <c r="CU16" s="1341"/>
      <c r="CV16" s="1342"/>
      <c r="CW16" s="101">
        <f>'Федеральные  средства  по  МО'!X17</f>
        <v>0</v>
      </c>
      <c r="CX16" s="1350">
        <f t="shared" si="21"/>
        <v>0</v>
      </c>
      <c r="CY16" s="1342"/>
      <c r="CZ16" s="1351"/>
      <c r="DA16" s="101">
        <f>'Федеральные  средства  по  МО'!Y17</f>
        <v>0</v>
      </c>
      <c r="DB16" s="1350">
        <f t="shared" si="33"/>
        <v>0</v>
      </c>
      <c r="DC16" s="1341"/>
      <c r="DD16" s="1342"/>
      <c r="DE16" s="103">
        <f>'Федеральные  средства  по  МО'!Z17</f>
        <v>62343714.469999999</v>
      </c>
      <c r="DF16" s="1345">
        <f t="shared" si="34"/>
        <v>62343714.469999999</v>
      </c>
      <c r="DG16" s="1350"/>
      <c r="DH16" s="1342"/>
      <c r="DI16" s="101">
        <f>'Федеральные  средства  по  МО'!AA17</f>
        <v>17405719.52</v>
      </c>
      <c r="DJ16" s="1345">
        <f t="shared" si="35"/>
        <v>17405719.52</v>
      </c>
      <c r="DK16" s="1341"/>
      <c r="DL16" s="1342"/>
      <c r="DM16" s="101">
        <f>'Федеральные  средства  по  МО'!AB17</f>
        <v>0</v>
      </c>
      <c r="DN16" s="1350"/>
      <c r="DO16" s="1342"/>
      <c r="DP16" s="1348">
        <f t="shared" si="36"/>
        <v>0</v>
      </c>
      <c r="DQ16" s="101">
        <f>'Федеральные  средства  по  МО'!AC17</f>
        <v>0</v>
      </c>
      <c r="DR16" s="1342"/>
      <c r="DS16" s="1341"/>
      <c r="DT16" s="1348">
        <f t="shared" si="37"/>
        <v>0</v>
      </c>
      <c r="DU16" s="101">
        <f>'Федеральные  средства  по  МО'!AD17</f>
        <v>0</v>
      </c>
      <c r="DV16" s="1350">
        <f t="shared" si="22"/>
        <v>0</v>
      </c>
      <c r="DW16" s="1342"/>
      <c r="DX16" s="1351"/>
      <c r="DY16" s="101">
        <f>'Федеральные  средства  по  МО'!AE17</f>
        <v>0</v>
      </c>
      <c r="DZ16" s="1350">
        <f t="shared" si="23"/>
        <v>0</v>
      </c>
      <c r="EA16" s="1341"/>
      <c r="EB16" s="1342"/>
      <c r="EC16" s="103">
        <f>'Федеральные  средства  по  МО'!AH17</f>
        <v>292836.86</v>
      </c>
      <c r="ED16" s="1348"/>
      <c r="EE16" s="1345">
        <f>'Проверочная  таблица'!HA18</f>
        <v>292836.86</v>
      </c>
      <c r="EF16" s="1347"/>
      <c r="EG16" s="104">
        <f>'Федеральные  средства  по  МО'!AI17</f>
        <v>278375.43</v>
      </c>
      <c r="EH16" s="1348"/>
      <c r="EI16" s="1345">
        <f>'Проверочная  таблица'!HD18</f>
        <v>278375.43</v>
      </c>
      <c r="EJ16" s="1347"/>
      <c r="EK16" s="101">
        <f>'Федеральные  средства  по  МО'!AJ17</f>
        <v>0</v>
      </c>
      <c r="EL16" s="1350"/>
      <c r="EM16" s="1342"/>
      <c r="EN16" s="1351"/>
      <c r="EO16" s="101">
        <f>'Федеральные  средства  по  МО'!AK17</f>
        <v>0</v>
      </c>
      <c r="EP16" s="1342"/>
      <c r="EQ16" s="1341"/>
      <c r="ER16" s="1342"/>
      <c r="ES16" s="103">
        <f>'Федеральные  средства  по  МО'!AL17</f>
        <v>405391.25</v>
      </c>
      <c r="ET16" s="1345">
        <f>'Проверочная  таблица'!HS18</f>
        <v>405391.25</v>
      </c>
      <c r="EU16" s="1346">
        <f>'Проверочная  таблица'!IG18</f>
        <v>0</v>
      </c>
      <c r="EV16" s="1345">
        <f>'Проверочная  таблица'!IM18</f>
        <v>0</v>
      </c>
      <c r="EW16" s="104">
        <f>'Федеральные  средства  по  МО'!AM17</f>
        <v>405391.25</v>
      </c>
      <c r="EX16" s="1345">
        <f>'Проверочная  таблица'!HV18</f>
        <v>405391.25</v>
      </c>
      <c r="EY16" s="1346">
        <f>'Проверочная  таблица'!IJ18</f>
        <v>0</v>
      </c>
      <c r="EZ16" s="1345">
        <f>'Проверочная  таблица'!IP18</f>
        <v>0</v>
      </c>
      <c r="FA16" s="101">
        <f>'Федеральные  средства  по  МО'!AN17</f>
        <v>0</v>
      </c>
      <c r="FB16" s="1342"/>
      <c r="FC16" s="1348">
        <f>'Проверочная  таблица'!JY18</f>
        <v>0</v>
      </c>
      <c r="FD16" s="1345">
        <f>'Проверочная  таблица'!KI18</f>
        <v>0</v>
      </c>
      <c r="FE16" s="104">
        <f>'Федеральные  средства  по  МО'!AO17</f>
        <v>0</v>
      </c>
      <c r="FF16" s="1348"/>
      <c r="FG16" s="1345">
        <f>'Проверочная  таблица'!KD18</f>
        <v>0</v>
      </c>
      <c r="FH16" s="1347">
        <f>'Проверочная  таблица'!KN18</f>
        <v>0</v>
      </c>
      <c r="FI16" s="104">
        <f>'Федеральные  средства  по  МО'!AP17</f>
        <v>5000387.37</v>
      </c>
      <c r="FJ16" s="1348">
        <f t="shared" si="38"/>
        <v>5000387.37</v>
      </c>
      <c r="FK16" s="1345"/>
      <c r="FL16" s="1347"/>
      <c r="FM16" s="100">
        <f>'Федеральные  средства  по  МО'!AQ17</f>
        <v>5000387.37</v>
      </c>
      <c r="FN16" s="1348">
        <f t="shared" si="24"/>
        <v>5000387.37</v>
      </c>
      <c r="FO16" s="1345"/>
      <c r="FP16" s="1346"/>
      <c r="FQ16" s="103">
        <f>'Федеральные  средства  по  МО'!AT17</f>
        <v>0</v>
      </c>
      <c r="FR16" s="1345">
        <f>'Проверочная  таблица'!IS18</f>
        <v>0</v>
      </c>
      <c r="FS16" s="1346">
        <f>'Проверочная  таблица'!JW18</f>
        <v>0</v>
      </c>
      <c r="FT16" s="1345">
        <f>'Проверочная  таблица'!KG18</f>
        <v>0</v>
      </c>
      <c r="FU16" s="104">
        <f>'Федеральные  средства  по  МО'!AU17</f>
        <v>0</v>
      </c>
      <c r="FV16" s="1345">
        <f>'Проверочная  таблица'!JC18</f>
        <v>0</v>
      </c>
      <c r="FW16" s="1346">
        <f>'Проверочная  таблица'!KB18</f>
        <v>0</v>
      </c>
      <c r="FX16" s="1345">
        <f>'Проверочная  таблица'!KL18</f>
        <v>0</v>
      </c>
      <c r="FY16" s="104">
        <f>'Федеральные  средства  по  МО'!AR17</f>
        <v>0</v>
      </c>
      <c r="FZ16" s="1345">
        <f t="shared" si="39"/>
        <v>0</v>
      </c>
      <c r="GA16" s="1346"/>
      <c r="GB16" s="1348"/>
      <c r="GC16" s="101">
        <f>'Федеральные  средства  по  МО'!AS17</f>
        <v>0</v>
      </c>
      <c r="GD16" s="1345">
        <f t="shared" si="40"/>
        <v>0</v>
      </c>
      <c r="GE16" s="1347"/>
      <c r="GF16" s="1342"/>
      <c r="GG16" s="100">
        <f>'Федеральные  средства  по  МО'!AV17</f>
        <v>0</v>
      </c>
      <c r="GH16" s="1350">
        <f t="shared" si="41"/>
        <v>0</v>
      </c>
      <c r="GI16" s="1342"/>
      <c r="GJ16" s="1351"/>
      <c r="GK16" s="101">
        <f>'Федеральные  средства  по  МО'!AW17</f>
        <v>0</v>
      </c>
      <c r="GL16" s="1350">
        <f t="shared" si="25"/>
        <v>0</v>
      </c>
      <c r="GM16" s="1342"/>
      <c r="GN16" s="1341"/>
      <c r="GO16" s="1340"/>
      <c r="GP16" s="1341"/>
      <c r="GQ16" s="1342"/>
      <c r="GR16" s="1341"/>
      <c r="GS16" s="1343"/>
      <c r="GT16" s="1342"/>
      <c r="GU16" s="1341"/>
      <c r="GV16" s="1342"/>
      <c r="GW16" s="103">
        <f>'Федеральные  средства  по  МО'!AX17</f>
        <v>0</v>
      </c>
      <c r="GX16" s="1348"/>
      <c r="GY16" s="1345"/>
      <c r="GZ16" s="1347">
        <f>'Проверочная  таблица'!MA18</f>
        <v>0</v>
      </c>
      <c r="HA16" s="104">
        <f>'Федеральные  средства  по  МО'!AY17</f>
        <v>0</v>
      </c>
      <c r="HB16" s="1348"/>
      <c r="HC16" s="1345"/>
      <c r="HD16" s="1347">
        <f>'Проверочная  таблица'!ME18</f>
        <v>0</v>
      </c>
      <c r="HE16" s="104">
        <f>'Федеральные  средства  по  МО'!BD17</f>
        <v>0</v>
      </c>
      <c r="HF16" s="1348"/>
      <c r="HG16" s="1345">
        <f t="shared" si="42"/>
        <v>0</v>
      </c>
      <c r="HH16" s="1347"/>
      <c r="HI16" s="100">
        <f>'Федеральные  средства  по  МО'!BE17</f>
        <v>0</v>
      </c>
      <c r="HJ16" s="1348"/>
      <c r="HK16" s="1345">
        <f t="shared" si="43"/>
        <v>0</v>
      </c>
      <c r="HL16" s="1347"/>
      <c r="HM16" s="103">
        <f>'Федеральные  средства  по  МО'!AZ17</f>
        <v>2278314.23</v>
      </c>
      <c r="HN16" s="1348"/>
      <c r="HO16" s="1345">
        <f t="shared" si="44"/>
        <v>2278314.23</v>
      </c>
      <c r="HP16" s="1347"/>
      <c r="HQ16" s="100">
        <f>'Федеральные  средства  по  МО'!BA17</f>
        <v>2269948.52</v>
      </c>
      <c r="HR16" s="1348"/>
      <c r="HS16" s="1345">
        <f t="shared" si="45"/>
        <v>2269948.52</v>
      </c>
      <c r="HT16" s="1346"/>
      <c r="HU16" s="103">
        <f>'Федеральные  средства  по  МО'!AF17</f>
        <v>659680</v>
      </c>
      <c r="HV16" s="1345"/>
      <c r="HW16" s="1346">
        <f t="shared" si="46"/>
        <v>659680</v>
      </c>
      <c r="HX16" s="1345"/>
      <c r="HY16" s="104">
        <f>'Федеральные  средства  по  МО'!AG17</f>
        <v>0</v>
      </c>
      <c r="HZ16" s="1345"/>
      <c r="IA16" s="1346">
        <f t="shared" si="47"/>
        <v>0</v>
      </c>
      <c r="IB16" s="1345"/>
      <c r="IC16" s="104">
        <f>'Федеральные  средства  по  МО'!BH17</f>
        <v>146751400</v>
      </c>
      <c r="ID16" s="1345">
        <f>'Проверочная  таблица'!NU18</f>
        <v>146751400</v>
      </c>
      <c r="IE16" s="1346"/>
      <c r="IF16" s="1345"/>
      <c r="IG16" s="104">
        <f>'Федеральные  средства  по  МО'!BI17</f>
        <v>15150914.640000001</v>
      </c>
      <c r="IH16" s="1345">
        <f>'Проверочная  таблица'!OB18</f>
        <v>15150914.640000001</v>
      </c>
      <c r="II16" s="1346"/>
      <c r="IJ16" s="1345"/>
      <c r="IK16" s="104">
        <f>'Федеральные  средства  по  МО'!BJ17</f>
        <v>0</v>
      </c>
      <c r="IL16" s="1348">
        <f>'Проверочная  таблица'!NW18</f>
        <v>0</v>
      </c>
      <c r="IM16" s="1345">
        <f>'Проверочная  таблица'!OY18</f>
        <v>0</v>
      </c>
      <c r="IN16" s="1347"/>
      <c r="IO16" s="104">
        <f>'Федеральные  средства  по  МО'!BK17</f>
        <v>0</v>
      </c>
      <c r="IP16" s="1348">
        <f>'Проверочная  таблица'!OD18</f>
        <v>0</v>
      </c>
      <c r="IQ16" s="1345">
        <f>'Проверочная  таблица'!OR18</f>
        <v>0</v>
      </c>
      <c r="IR16" s="1347"/>
      <c r="IS16" s="100">
        <f>'Федеральные  средства  по  МО'!BB17</f>
        <v>0</v>
      </c>
      <c r="IT16" s="1350"/>
      <c r="IU16" s="1342"/>
      <c r="IV16" s="1351"/>
      <c r="IW16" s="101">
        <f>'Федеральные  средства  по  МО'!BC17</f>
        <v>0</v>
      </c>
      <c r="IX16" s="1342"/>
      <c r="IY16" s="1341"/>
      <c r="IZ16" s="1342"/>
      <c r="JA16" s="101">
        <f>'Федеральные  средства  по  МО'!BF17</f>
        <v>0</v>
      </c>
      <c r="JB16" s="1350"/>
      <c r="JC16" s="1342"/>
      <c r="JD16" s="1351"/>
      <c r="JE16" s="101">
        <f>'Федеральные  средства  по  МО'!BG17</f>
        <v>0</v>
      </c>
      <c r="JF16" s="1342"/>
      <c r="JG16" s="1341"/>
      <c r="JH16" s="1342"/>
      <c r="JI16" s="103">
        <f>'Федеральные  средства  по  МО'!BL17</f>
        <v>0</v>
      </c>
      <c r="JJ16" s="1345">
        <f>'Проверочная  таблица'!PW18</f>
        <v>0</v>
      </c>
      <c r="JK16" s="1346">
        <f>'Проверочная  таблица'!QI18</f>
        <v>0</v>
      </c>
      <c r="JL16" s="1345"/>
      <c r="JM16" s="104">
        <f>'Федеральные  средства  по  МО'!BM17</f>
        <v>0</v>
      </c>
      <c r="JN16" s="1345">
        <f>'Проверочная  таблица'!PZ18</f>
        <v>0</v>
      </c>
      <c r="JO16" s="1346">
        <f>'Проверочная  таблица'!QL18</f>
        <v>0</v>
      </c>
      <c r="JP16" s="1345"/>
    </row>
    <row r="17" spans="1:276" ht="25.5" customHeight="1" x14ac:dyDescent="0.25">
      <c r="A17" s="102" t="s">
        <v>86</v>
      </c>
      <c r="B17" s="278">
        <f t="shared" si="26"/>
        <v>19547453.699999999</v>
      </c>
      <c r="C17" s="1329">
        <f t="shared" si="0"/>
        <v>540521.66</v>
      </c>
      <c r="D17" s="1329">
        <f t="shared" si="0"/>
        <v>1936410.3799999997</v>
      </c>
      <c r="E17" s="1329">
        <f t="shared" si="0"/>
        <v>17070521.66</v>
      </c>
      <c r="F17" s="278">
        <f t="shared" si="27"/>
        <v>11399216.449999999</v>
      </c>
      <c r="G17" s="1329">
        <f t="shared" si="28"/>
        <v>540521.66</v>
      </c>
      <c r="H17" s="1329">
        <f t="shared" si="28"/>
        <v>895123.02</v>
      </c>
      <c r="I17" s="1329">
        <f t="shared" si="28"/>
        <v>9963571.7699999996</v>
      </c>
      <c r="J17" s="105"/>
      <c r="K17" s="1330">
        <f>M17-'Федеральные  средства  по  МО'!D18</f>
        <v>0</v>
      </c>
      <c r="L17" s="1330">
        <f>Q17-'Федеральные  средства  по  МО'!E18</f>
        <v>0</v>
      </c>
      <c r="M17" s="278">
        <f t="shared" si="1"/>
        <v>19547453.699999999</v>
      </c>
      <c r="N17" s="1329">
        <f t="shared" si="2"/>
        <v>540521.66</v>
      </c>
      <c r="O17" s="1329">
        <f t="shared" si="3"/>
        <v>1936410.3799999997</v>
      </c>
      <c r="P17" s="1329">
        <f t="shared" si="4"/>
        <v>17070521.66</v>
      </c>
      <c r="Q17" s="278">
        <f t="shared" si="5"/>
        <v>11399216.449999999</v>
      </c>
      <c r="R17" s="1329">
        <f t="shared" si="6"/>
        <v>540521.66</v>
      </c>
      <c r="S17" s="1329">
        <f t="shared" si="7"/>
        <v>895123.02</v>
      </c>
      <c r="T17" s="1329">
        <f t="shared" si="8"/>
        <v>9963571.7699999996</v>
      </c>
      <c r="U17" s="103"/>
      <c r="V17" s="1345"/>
      <c r="W17" s="1346"/>
      <c r="X17" s="1345"/>
      <c r="Y17" s="101"/>
      <c r="Z17" s="1346"/>
      <c r="AA17" s="1345"/>
      <c r="AB17" s="1346"/>
      <c r="AC17" s="103">
        <f>'Федеральные  средства  по  МО'!F18</f>
        <v>0</v>
      </c>
      <c r="AD17" s="1348">
        <f>'Проверочная  таблица'!CS19</f>
        <v>0</v>
      </c>
      <c r="AE17" s="1345">
        <f>'Проверочная  таблица'!CW19</f>
        <v>0</v>
      </c>
      <c r="AF17" s="1347">
        <f>'Проверочная  таблица'!CY19</f>
        <v>0</v>
      </c>
      <c r="AG17" s="104">
        <f>'Федеральные  средства  по  МО'!G18</f>
        <v>0</v>
      </c>
      <c r="AH17" s="1348">
        <f>'Проверочная  таблица'!CT19</f>
        <v>0</v>
      </c>
      <c r="AI17" s="1345">
        <f>'Проверочная  таблица'!CX19</f>
        <v>0</v>
      </c>
      <c r="AJ17" s="1347">
        <f>'Проверочная  таблица'!CZ19</f>
        <v>0</v>
      </c>
      <c r="AK17" s="104">
        <f>'Федеральные  средства  по  МО'!H18</f>
        <v>0</v>
      </c>
      <c r="AL17" s="1345">
        <f t="shared" si="29"/>
        <v>0</v>
      </c>
      <c r="AM17" s="1346"/>
      <c r="AN17" s="1348"/>
      <c r="AO17" s="101">
        <f>'Федеральные  средства  по  МО'!I18</f>
        <v>0</v>
      </c>
      <c r="AP17" s="1345">
        <f t="shared" si="30"/>
        <v>0</v>
      </c>
      <c r="AQ17" s="1345"/>
      <c r="AR17" s="1346"/>
      <c r="AS17" s="101">
        <f>'Федеральные  средства  по  МО'!J18</f>
        <v>0</v>
      </c>
      <c r="AT17" s="1347">
        <f t="shared" si="9"/>
        <v>0</v>
      </c>
      <c r="AU17" s="1345"/>
      <c r="AV17" s="1346"/>
      <c r="AW17" s="101">
        <f>'Федеральные  средства  по  МО'!K18</f>
        <v>0</v>
      </c>
      <c r="AX17" s="1347">
        <f t="shared" si="10"/>
        <v>0</v>
      </c>
      <c r="AY17" s="1346"/>
      <c r="AZ17" s="1348"/>
      <c r="BA17" s="101">
        <f>'Федеральные  средства  по  МО'!L18</f>
        <v>0</v>
      </c>
      <c r="BB17" s="1347">
        <f t="shared" si="11"/>
        <v>0</v>
      </c>
      <c r="BC17" s="1346"/>
      <c r="BD17" s="1348"/>
      <c r="BE17" s="101">
        <f>'Федеральные  средства  по  МО'!M18</f>
        <v>0</v>
      </c>
      <c r="BF17" s="1347">
        <f t="shared" si="12"/>
        <v>0</v>
      </c>
      <c r="BG17" s="1345"/>
      <c r="BH17" s="1346"/>
      <c r="BI17" s="101">
        <f>'Федеральные  средства  по  МО'!N18</f>
        <v>0</v>
      </c>
      <c r="BJ17" s="1347">
        <f t="shared" si="13"/>
        <v>0</v>
      </c>
      <c r="BK17" s="1345"/>
      <c r="BL17" s="1346"/>
      <c r="BM17" s="101">
        <f>'Федеральные  средства  по  МО'!O18</f>
        <v>0</v>
      </c>
      <c r="BN17" s="1347">
        <f t="shared" si="14"/>
        <v>0</v>
      </c>
      <c r="BO17" s="1345"/>
      <c r="BP17" s="1346"/>
      <c r="BQ17" s="101">
        <f>'Федеральные  средства  по  МО'!P18</f>
        <v>0</v>
      </c>
      <c r="BR17" s="1347">
        <f t="shared" si="15"/>
        <v>0</v>
      </c>
      <c r="BS17" s="1345"/>
      <c r="BT17" s="1346"/>
      <c r="BU17" s="101">
        <f>'Федеральные  средства  по  МО'!Q18</f>
        <v>0</v>
      </c>
      <c r="BV17" s="1347">
        <f t="shared" si="16"/>
        <v>0</v>
      </c>
      <c r="BW17" s="1345"/>
      <c r="BX17" s="1346"/>
      <c r="BY17" s="101">
        <f>'Федеральные  средства  по  МО'!R18</f>
        <v>0</v>
      </c>
      <c r="BZ17" s="1347">
        <f t="shared" si="17"/>
        <v>0</v>
      </c>
      <c r="CA17" s="1346"/>
      <c r="CB17" s="1348"/>
      <c r="CC17" s="101">
        <f>'Федеральные  средства  по  МО'!S18</f>
        <v>0</v>
      </c>
      <c r="CD17" s="1347">
        <f t="shared" si="18"/>
        <v>0</v>
      </c>
      <c r="CE17" s="1345"/>
      <c r="CF17" s="1346"/>
      <c r="CG17" s="103">
        <f>'Федеральные  средства  по  МО'!T18</f>
        <v>0</v>
      </c>
      <c r="CH17" s="1345">
        <f t="shared" si="31"/>
        <v>0</v>
      </c>
      <c r="CI17" s="1346"/>
      <c r="CJ17" s="1345"/>
      <c r="CK17" s="104">
        <f>'Федеральные  средства  по  МО'!U18</f>
        <v>0</v>
      </c>
      <c r="CL17" s="1345">
        <f t="shared" si="32"/>
        <v>0</v>
      </c>
      <c r="CM17" s="1346"/>
      <c r="CN17" s="1345"/>
      <c r="CO17" s="100">
        <f>'Федеральные  средства  по  МО'!V18</f>
        <v>0</v>
      </c>
      <c r="CP17" s="1347"/>
      <c r="CQ17" s="1346"/>
      <c r="CR17" s="1348"/>
      <c r="CS17" s="101">
        <f>'Федеральные  средства  по  МО'!W18</f>
        <v>0</v>
      </c>
      <c r="CT17" s="1346"/>
      <c r="CU17" s="1345"/>
      <c r="CV17" s="1346"/>
      <c r="CW17" s="101">
        <f>'Федеральные  средства  по  МО'!X18</f>
        <v>0</v>
      </c>
      <c r="CX17" s="1347">
        <f t="shared" si="21"/>
        <v>0</v>
      </c>
      <c r="CY17" s="1346"/>
      <c r="CZ17" s="1348"/>
      <c r="DA17" s="101">
        <f>'Федеральные  средства  по  МО'!Y18</f>
        <v>0</v>
      </c>
      <c r="DB17" s="1347">
        <f t="shared" si="33"/>
        <v>0</v>
      </c>
      <c r="DC17" s="1345"/>
      <c r="DD17" s="1346"/>
      <c r="DE17" s="103">
        <f>'Федеральные  средства  по  МО'!Z18</f>
        <v>0</v>
      </c>
      <c r="DF17" s="1345">
        <f t="shared" si="34"/>
        <v>0</v>
      </c>
      <c r="DG17" s="1347"/>
      <c r="DH17" s="1346"/>
      <c r="DI17" s="101">
        <f>'Федеральные  средства  по  МО'!AA18</f>
        <v>0</v>
      </c>
      <c r="DJ17" s="1345">
        <f t="shared" si="35"/>
        <v>0</v>
      </c>
      <c r="DK17" s="1345"/>
      <c r="DL17" s="1346"/>
      <c r="DM17" s="101">
        <f>'Федеральные  средства  по  МО'!AB18</f>
        <v>0</v>
      </c>
      <c r="DN17" s="1347"/>
      <c r="DO17" s="1346"/>
      <c r="DP17" s="1348">
        <f t="shared" si="36"/>
        <v>0</v>
      </c>
      <c r="DQ17" s="101">
        <f>'Федеральные  средства  по  МО'!AC18</f>
        <v>0</v>
      </c>
      <c r="DR17" s="1346"/>
      <c r="DS17" s="1345"/>
      <c r="DT17" s="1348">
        <f t="shared" si="37"/>
        <v>0</v>
      </c>
      <c r="DU17" s="101">
        <f>'Федеральные  средства  по  МО'!AD18</f>
        <v>0</v>
      </c>
      <c r="DV17" s="1347">
        <f t="shared" si="22"/>
        <v>0</v>
      </c>
      <c r="DW17" s="1346"/>
      <c r="DX17" s="1348"/>
      <c r="DY17" s="101">
        <f>'Федеральные  средства  по  МО'!AE18</f>
        <v>0</v>
      </c>
      <c r="DZ17" s="1347">
        <f t="shared" si="23"/>
        <v>0</v>
      </c>
      <c r="EA17" s="1345"/>
      <c r="EB17" s="1346"/>
      <c r="EC17" s="103">
        <f>'Федеральные  средства  по  МО'!AH18</f>
        <v>158118.89000000001</v>
      </c>
      <c r="ED17" s="1348"/>
      <c r="EE17" s="1345">
        <f>'Проверочная  таблица'!HA19</f>
        <v>158118.89000000001</v>
      </c>
      <c r="EF17" s="1347"/>
      <c r="EG17" s="104">
        <f>'Федеральные  средства  по  МО'!AI18</f>
        <v>158118.89000000001</v>
      </c>
      <c r="EH17" s="1348"/>
      <c r="EI17" s="1345">
        <f>'Проверочная  таблица'!HD19</f>
        <v>158118.89000000001</v>
      </c>
      <c r="EJ17" s="1347"/>
      <c r="EK17" s="101">
        <f>'Федеральные  средства  по  МО'!AJ18</f>
        <v>0</v>
      </c>
      <c r="EL17" s="1347"/>
      <c r="EM17" s="1346"/>
      <c r="EN17" s="1348"/>
      <c r="EO17" s="101">
        <f>'Федеральные  средства  по  МО'!AK18</f>
        <v>0</v>
      </c>
      <c r="EP17" s="1346"/>
      <c r="EQ17" s="1345"/>
      <c r="ER17" s="1346"/>
      <c r="ES17" s="103">
        <f>'Федеральные  средства  по  МО'!AL18</f>
        <v>1818047.4499999997</v>
      </c>
      <c r="ET17" s="1345">
        <f>'Проверочная  таблица'!HS19</f>
        <v>540521.66</v>
      </c>
      <c r="EU17" s="1346">
        <f>'Проверочная  таблица'!IG19</f>
        <v>737004.12999999977</v>
      </c>
      <c r="EV17" s="1345">
        <f>'Проверочная  таблица'!IM19</f>
        <v>540521.66</v>
      </c>
      <c r="EW17" s="104">
        <f>'Федеральные  средства  по  МО'!AM18</f>
        <v>1818047.4500000002</v>
      </c>
      <c r="EX17" s="1345">
        <f>'Проверочная  таблица'!HV19</f>
        <v>540521.66</v>
      </c>
      <c r="EY17" s="1346">
        <f>'Проверочная  таблица'!IJ19</f>
        <v>737004.13</v>
      </c>
      <c r="EZ17" s="1345">
        <f>'Проверочная  таблица'!IP19</f>
        <v>540521.66</v>
      </c>
      <c r="FA17" s="101">
        <f>'Федеральные  средства  по  МО'!AN18</f>
        <v>0</v>
      </c>
      <c r="FB17" s="1346"/>
      <c r="FC17" s="1348">
        <f>'Проверочная  таблица'!JY19</f>
        <v>0</v>
      </c>
      <c r="FD17" s="1345">
        <f>'Проверочная  таблица'!KI19</f>
        <v>0</v>
      </c>
      <c r="FE17" s="104">
        <f>'Федеральные  средства  по  МО'!AO18</f>
        <v>0</v>
      </c>
      <c r="FF17" s="1348"/>
      <c r="FG17" s="1345">
        <f>'Проверочная  таблица'!KD19</f>
        <v>0</v>
      </c>
      <c r="FH17" s="1347">
        <f>'Проверочная  таблица'!KN19</f>
        <v>0</v>
      </c>
      <c r="FI17" s="104">
        <f>'Федеральные  средства  по  МО'!AP18</f>
        <v>0</v>
      </c>
      <c r="FJ17" s="1348">
        <f t="shared" si="38"/>
        <v>0</v>
      </c>
      <c r="FK17" s="1345"/>
      <c r="FL17" s="1347"/>
      <c r="FM17" s="100">
        <f>'Федеральные  средства  по  МО'!AQ18</f>
        <v>0</v>
      </c>
      <c r="FN17" s="1348">
        <f t="shared" si="24"/>
        <v>0</v>
      </c>
      <c r="FO17" s="1345"/>
      <c r="FP17" s="1346"/>
      <c r="FQ17" s="103">
        <f>'Федеральные  средства  по  МО'!AT18</f>
        <v>0</v>
      </c>
      <c r="FR17" s="1345">
        <f>'Проверочная  таблица'!IS19</f>
        <v>0</v>
      </c>
      <c r="FS17" s="1346">
        <f>'Проверочная  таблица'!JW19</f>
        <v>0</v>
      </c>
      <c r="FT17" s="1345">
        <f>'Проверочная  таблица'!KG19</f>
        <v>0</v>
      </c>
      <c r="FU17" s="104">
        <f>'Федеральные  средства  по  МО'!AU18</f>
        <v>0</v>
      </c>
      <c r="FV17" s="1345">
        <f>'Проверочная  таблица'!JC19</f>
        <v>0</v>
      </c>
      <c r="FW17" s="1346">
        <f>'Проверочная  таблица'!KB19</f>
        <v>0</v>
      </c>
      <c r="FX17" s="1345">
        <f>'Проверочная  таблица'!KL19</f>
        <v>0</v>
      </c>
      <c r="FY17" s="104">
        <f>'Федеральные  средства  по  МО'!AR18</f>
        <v>0</v>
      </c>
      <c r="FZ17" s="1345">
        <f t="shared" si="39"/>
        <v>0</v>
      </c>
      <c r="GA17" s="1346"/>
      <c r="GB17" s="1348"/>
      <c r="GC17" s="101">
        <f>'Федеральные  средства  по  МО'!AS18</f>
        <v>0</v>
      </c>
      <c r="GD17" s="1345">
        <f t="shared" si="40"/>
        <v>0</v>
      </c>
      <c r="GE17" s="1347"/>
      <c r="GF17" s="1346"/>
      <c r="GG17" s="100">
        <f>'Федеральные  средства  по  МО'!AV18</f>
        <v>0</v>
      </c>
      <c r="GH17" s="1347">
        <f t="shared" si="41"/>
        <v>0</v>
      </c>
      <c r="GI17" s="1346"/>
      <c r="GJ17" s="1348"/>
      <c r="GK17" s="101">
        <f>'Федеральные  средства  по  МО'!AW18</f>
        <v>0</v>
      </c>
      <c r="GL17" s="1347">
        <f t="shared" si="25"/>
        <v>0</v>
      </c>
      <c r="GM17" s="1346"/>
      <c r="GN17" s="1345"/>
      <c r="GO17" s="104"/>
      <c r="GP17" s="1345"/>
      <c r="GQ17" s="1346"/>
      <c r="GR17" s="1345"/>
      <c r="GS17" s="100"/>
      <c r="GT17" s="1346"/>
      <c r="GU17" s="1345"/>
      <c r="GV17" s="1346"/>
      <c r="GW17" s="103">
        <f>'Федеральные  средства  по  МО'!AX18</f>
        <v>16530000</v>
      </c>
      <c r="GX17" s="1348"/>
      <c r="GY17" s="1345"/>
      <c r="GZ17" s="1347">
        <f>'Проверочная  таблица'!MA19</f>
        <v>16530000</v>
      </c>
      <c r="HA17" s="104">
        <f>'Федеральные  средства  по  МО'!AY18</f>
        <v>9423050.1099999994</v>
      </c>
      <c r="HB17" s="1348"/>
      <c r="HC17" s="1345"/>
      <c r="HD17" s="1347">
        <f>'Проверочная  таблица'!ME19</f>
        <v>9423050.1099999994</v>
      </c>
      <c r="HE17" s="104">
        <f>'Федеральные  средства  по  МО'!BD18</f>
        <v>0</v>
      </c>
      <c r="HF17" s="1348"/>
      <c r="HG17" s="1345">
        <f t="shared" si="42"/>
        <v>0</v>
      </c>
      <c r="HH17" s="1347"/>
      <c r="HI17" s="100">
        <f>'Федеральные  средства  по  МО'!BE18</f>
        <v>0</v>
      </c>
      <c r="HJ17" s="1348"/>
      <c r="HK17" s="1345">
        <f t="shared" si="43"/>
        <v>0</v>
      </c>
      <c r="HL17" s="1347"/>
      <c r="HM17" s="103">
        <f>'Федеральные  средства  по  МО'!AZ18</f>
        <v>1041287.3599999999</v>
      </c>
      <c r="HN17" s="1348"/>
      <c r="HO17" s="1345">
        <f t="shared" si="44"/>
        <v>1041287.3599999999</v>
      </c>
      <c r="HP17" s="1347"/>
      <c r="HQ17" s="100">
        <f>'Федеральные  средства  по  МО'!BA18</f>
        <v>0</v>
      </c>
      <c r="HR17" s="1348"/>
      <c r="HS17" s="1345">
        <f t="shared" si="45"/>
        <v>0</v>
      </c>
      <c r="HT17" s="1346"/>
      <c r="HU17" s="103">
        <f>'Федеральные  средства  по  МО'!AF18</f>
        <v>0</v>
      </c>
      <c r="HV17" s="1345"/>
      <c r="HW17" s="1346">
        <f t="shared" si="46"/>
        <v>0</v>
      </c>
      <c r="HX17" s="1345"/>
      <c r="HY17" s="104">
        <f>'Федеральные  средства  по  МО'!AG18</f>
        <v>0</v>
      </c>
      <c r="HZ17" s="1345"/>
      <c r="IA17" s="1346">
        <f t="shared" si="47"/>
        <v>0</v>
      </c>
      <c r="IB17" s="1345"/>
      <c r="IC17" s="104">
        <f>'Федеральные  средства  по  МО'!BH18</f>
        <v>0</v>
      </c>
      <c r="ID17" s="1345">
        <f>'Проверочная  таблица'!NU19</f>
        <v>0</v>
      </c>
      <c r="IE17" s="1346"/>
      <c r="IF17" s="1345"/>
      <c r="IG17" s="104">
        <f>'Федеральные  средства  по  МО'!BI18</f>
        <v>0</v>
      </c>
      <c r="IH17" s="1345">
        <f>'Проверочная  таблица'!OB19</f>
        <v>0</v>
      </c>
      <c r="II17" s="1346"/>
      <c r="IJ17" s="1345"/>
      <c r="IK17" s="104">
        <f>'Федеральные  средства  по  МО'!BJ18</f>
        <v>0</v>
      </c>
      <c r="IL17" s="1348">
        <f>'Проверочная  таблица'!NW19</f>
        <v>0</v>
      </c>
      <c r="IM17" s="1345">
        <f>'Проверочная  таблица'!OY19</f>
        <v>0</v>
      </c>
      <c r="IN17" s="1347"/>
      <c r="IO17" s="104">
        <f>'Федеральные  средства  по  МО'!BK18</f>
        <v>0</v>
      </c>
      <c r="IP17" s="1348">
        <f>'Проверочная  таблица'!OD19</f>
        <v>0</v>
      </c>
      <c r="IQ17" s="1345">
        <f>'Проверочная  таблица'!OR19</f>
        <v>0</v>
      </c>
      <c r="IR17" s="1347"/>
      <c r="IS17" s="100">
        <f>'Федеральные  средства  по  МО'!BB18</f>
        <v>0</v>
      </c>
      <c r="IT17" s="1347"/>
      <c r="IU17" s="1346"/>
      <c r="IV17" s="1348"/>
      <c r="IW17" s="101">
        <f>'Федеральные  средства  по  МО'!BC18</f>
        <v>0</v>
      </c>
      <c r="IX17" s="1346"/>
      <c r="IY17" s="1345"/>
      <c r="IZ17" s="1346"/>
      <c r="JA17" s="101">
        <f>'Федеральные  средства  по  МО'!BF18</f>
        <v>0</v>
      </c>
      <c r="JB17" s="1347"/>
      <c r="JC17" s="1346"/>
      <c r="JD17" s="1348"/>
      <c r="JE17" s="101">
        <f>'Федеральные  средства  по  МО'!BG18</f>
        <v>0</v>
      </c>
      <c r="JF17" s="1346"/>
      <c r="JG17" s="1345"/>
      <c r="JH17" s="1346"/>
      <c r="JI17" s="103">
        <f>'Федеральные  средства  по  МО'!BL18</f>
        <v>0</v>
      </c>
      <c r="JJ17" s="1345">
        <f>'Проверочная  таблица'!PW19</f>
        <v>0</v>
      </c>
      <c r="JK17" s="1346">
        <f>'Проверочная  таблица'!QI19</f>
        <v>0</v>
      </c>
      <c r="JL17" s="1345"/>
      <c r="JM17" s="104">
        <f>'Федеральные  средства  по  МО'!BM18</f>
        <v>0</v>
      </c>
      <c r="JN17" s="1345">
        <f>'Проверочная  таблица'!PZ19</f>
        <v>0</v>
      </c>
      <c r="JO17" s="1346">
        <f>'Проверочная  таблица'!QL19</f>
        <v>0</v>
      </c>
      <c r="JP17" s="1345"/>
    </row>
    <row r="18" spans="1:276" ht="25.5" customHeight="1" x14ac:dyDescent="0.25">
      <c r="A18" s="105" t="s">
        <v>87</v>
      </c>
      <c r="B18" s="278">
        <f t="shared" si="26"/>
        <v>46242882.359999999</v>
      </c>
      <c r="C18" s="1329">
        <f t="shared" si="0"/>
        <v>44645700</v>
      </c>
      <c r="D18" s="1329">
        <f t="shared" si="0"/>
        <v>1597182.3599999999</v>
      </c>
      <c r="E18" s="1329">
        <f t="shared" si="0"/>
        <v>0</v>
      </c>
      <c r="F18" s="278">
        <f t="shared" si="27"/>
        <v>45068644.439999998</v>
      </c>
      <c r="G18" s="1329">
        <f t="shared" si="28"/>
        <v>44645700</v>
      </c>
      <c r="H18" s="1329">
        <f t="shared" si="28"/>
        <v>422944.44</v>
      </c>
      <c r="I18" s="1329">
        <f t="shared" si="28"/>
        <v>0</v>
      </c>
      <c r="J18" s="105"/>
      <c r="K18" s="1330">
        <f>M18-'Федеральные  средства  по  МО'!D19</f>
        <v>0</v>
      </c>
      <c r="L18" s="1330">
        <f>Q18-'Федеральные  средства  по  МО'!E19</f>
        <v>0</v>
      </c>
      <c r="M18" s="278">
        <f t="shared" si="1"/>
        <v>46242882.359999999</v>
      </c>
      <c r="N18" s="1329">
        <f t="shared" si="2"/>
        <v>44645700</v>
      </c>
      <c r="O18" s="1329">
        <f t="shared" si="3"/>
        <v>1597182.3599999999</v>
      </c>
      <c r="P18" s="1329">
        <f t="shared" si="4"/>
        <v>0</v>
      </c>
      <c r="Q18" s="278">
        <f t="shared" si="5"/>
        <v>45068644.439999998</v>
      </c>
      <c r="R18" s="1329">
        <f t="shared" si="6"/>
        <v>44645700</v>
      </c>
      <c r="S18" s="1329">
        <f t="shared" si="7"/>
        <v>422944.44</v>
      </c>
      <c r="T18" s="1329">
        <f t="shared" si="8"/>
        <v>0</v>
      </c>
      <c r="U18" s="103"/>
      <c r="V18" s="1345"/>
      <c r="W18" s="1346"/>
      <c r="X18" s="1345"/>
      <c r="Y18" s="101"/>
      <c r="Z18" s="1346"/>
      <c r="AA18" s="1345"/>
      <c r="AB18" s="1346"/>
      <c r="AC18" s="103">
        <f>'Федеральные  средства  по  МО'!F19</f>
        <v>0</v>
      </c>
      <c r="AD18" s="1348">
        <f>'Проверочная  таблица'!CS20</f>
        <v>0</v>
      </c>
      <c r="AE18" s="1345">
        <f>'Проверочная  таблица'!CW20</f>
        <v>0</v>
      </c>
      <c r="AF18" s="1347">
        <f>'Проверочная  таблица'!CY20</f>
        <v>0</v>
      </c>
      <c r="AG18" s="104">
        <f>'Федеральные  средства  по  МО'!G19</f>
        <v>0</v>
      </c>
      <c r="AH18" s="1348">
        <f>'Проверочная  таблица'!CT20</f>
        <v>0</v>
      </c>
      <c r="AI18" s="1345">
        <f>'Проверочная  таблица'!CX20</f>
        <v>0</v>
      </c>
      <c r="AJ18" s="1347">
        <f>'Проверочная  таблица'!CZ20</f>
        <v>0</v>
      </c>
      <c r="AK18" s="104">
        <f>'Федеральные  средства  по  МО'!H19</f>
        <v>0</v>
      </c>
      <c r="AL18" s="1345">
        <f t="shared" si="29"/>
        <v>0</v>
      </c>
      <c r="AM18" s="1342"/>
      <c r="AN18" s="1351"/>
      <c r="AO18" s="101">
        <f>'Федеральные  средства  по  МО'!I19</f>
        <v>0</v>
      </c>
      <c r="AP18" s="1345">
        <f t="shared" si="30"/>
        <v>0</v>
      </c>
      <c r="AQ18" s="1341"/>
      <c r="AR18" s="1342"/>
      <c r="AS18" s="101">
        <f>'Федеральные  средства  по  МО'!J19</f>
        <v>0</v>
      </c>
      <c r="AT18" s="1350">
        <f t="shared" si="9"/>
        <v>0</v>
      </c>
      <c r="AU18" s="1341"/>
      <c r="AV18" s="1342"/>
      <c r="AW18" s="101">
        <f>'Федеральные  средства  по  МО'!K19</f>
        <v>0</v>
      </c>
      <c r="AX18" s="1350">
        <f t="shared" si="10"/>
        <v>0</v>
      </c>
      <c r="AY18" s="1342"/>
      <c r="AZ18" s="1351"/>
      <c r="BA18" s="101">
        <f>'Федеральные  средства  по  МО'!L19</f>
        <v>0</v>
      </c>
      <c r="BB18" s="1350">
        <f t="shared" si="11"/>
        <v>0</v>
      </c>
      <c r="BC18" s="1342"/>
      <c r="BD18" s="1351"/>
      <c r="BE18" s="101">
        <f>'Федеральные  средства  по  МО'!M19</f>
        <v>0</v>
      </c>
      <c r="BF18" s="1350">
        <f t="shared" si="12"/>
        <v>0</v>
      </c>
      <c r="BG18" s="1341"/>
      <c r="BH18" s="1342"/>
      <c r="BI18" s="101">
        <f>'Федеральные  средства  по  МО'!N19</f>
        <v>0</v>
      </c>
      <c r="BJ18" s="1350">
        <f t="shared" si="13"/>
        <v>0</v>
      </c>
      <c r="BK18" s="1341"/>
      <c r="BL18" s="1342"/>
      <c r="BM18" s="101">
        <f>'Федеральные  средства  по  МО'!O19</f>
        <v>0</v>
      </c>
      <c r="BN18" s="1350">
        <f t="shared" si="14"/>
        <v>0</v>
      </c>
      <c r="BO18" s="1341"/>
      <c r="BP18" s="1342"/>
      <c r="BQ18" s="101">
        <f>'Федеральные  средства  по  МО'!P19</f>
        <v>0</v>
      </c>
      <c r="BR18" s="1350">
        <f t="shared" si="15"/>
        <v>0</v>
      </c>
      <c r="BS18" s="1341"/>
      <c r="BT18" s="1342"/>
      <c r="BU18" s="101">
        <f>'Федеральные  средства  по  МО'!Q19</f>
        <v>0</v>
      </c>
      <c r="BV18" s="1350">
        <f t="shared" si="16"/>
        <v>0</v>
      </c>
      <c r="BW18" s="1341"/>
      <c r="BX18" s="1342"/>
      <c r="BY18" s="101">
        <f>'Федеральные  средства  по  МО'!R19</f>
        <v>0</v>
      </c>
      <c r="BZ18" s="1350">
        <f t="shared" si="17"/>
        <v>0</v>
      </c>
      <c r="CA18" s="1342"/>
      <c r="CB18" s="1351"/>
      <c r="CC18" s="101">
        <f>'Федеральные  средства  по  МО'!S19</f>
        <v>0</v>
      </c>
      <c r="CD18" s="1350">
        <f t="shared" si="18"/>
        <v>0</v>
      </c>
      <c r="CE18" s="1341"/>
      <c r="CF18" s="1342"/>
      <c r="CG18" s="103">
        <f>'Федеральные  средства  по  МО'!T19</f>
        <v>0</v>
      </c>
      <c r="CH18" s="1345">
        <f t="shared" si="31"/>
        <v>0</v>
      </c>
      <c r="CI18" s="1346"/>
      <c r="CJ18" s="1345"/>
      <c r="CK18" s="104">
        <f>'Федеральные  средства  по  МО'!U19</f>
        <v>0</v>
      </c>
      <c r="CL18" s="1345">
        <f t="shared" si="32"/>
        <v>0</v>
      </c>
      <c r="CM18" s="1346"/>
      <c r="CN18" s="1345"/>
      <c r="CO18" s="100">
        <f>'Федеральные  средства  по  МО'!V19</f>
        <v>0</v>
      </c>
      <c r="CP18" s="1350"/>
      <c r="CQ18" s="1342"/>
      <c r="CR18" s="1351"/>
      <c r="CS18" s="101">
        <f>'Федеральные  средства  по  МО'!W19</f>
        <v>0</v>
      </c>
      <c r="CT18" s="1342"/>
      <c r="CU18" s="1341"/>
      <c r="CV18" s="1342"/>
      <c r="CW18" s="101">
        <f>'Федеральные  средства  по  МО'!X19</f>
        <v>44645700</v>
      </c>
      <c r="CX18" s="1350">
        <f t="shared" si="21"/>
        <v>44645700</v>
      </c>
      <c r="CY18" s="1342"/>
      <c r="CZ18" s="1351"/>
      <c r="DA18" s="101">
        <f>'Федеральные  средства  по  МО'!Y19</f>
        <v>44645700</v>
      </c>
      <c r="DB18" s="1350">
        <f t="shared" si="33"/>
        <v>44645700</v>
      </c>
      <c r="DC18" s="1341"/>
      <c r="DD18" s="1342"/>
      <c r="DE18" s="103">
        <f>'Федеральные  средства  по  МО'!Z19</f>
        <v>0</v>
      </c>
      <c r="DF18" s="1345">
        <f t="shared" si="34"/>
        <v>0</v>
      </c>
      <c r="DG18" s="1350"/>
      <c r="DH18" s="1342"/>
      <c r="DI18" s="101">
        <f>'Федеральные  средства  по  МО'!AA19</f>
        <v>0</v>
      </c>
      <c r="DJ18" s="1345">
        <f t="shared" si="35"/>
        <v>0</v>
      </c>
      <c r="DK18" s="1341"/>
      <c r="DL18" s="1342"/>
      <c r="DM18" s="101">
        <f>'Федеральные  средства  по  МО'!AB19</f>
        <v>0</v>
      </c>
      <c r="DN18" s="1350"/>
      <c r="DO18" s="1342"/>
      <c r="DP18" s="1348">
        <f t="shared" si="36"/>
        <v>0</v>
      </c>
      <c r="DQ18" s="101">
        <f>'Федеральные  средства  по  МО'!AC19</f>
        <v>0</v>
      </c>
      <c r="DR18" s="1342"/>
      <c r="DS18" s="1341"/>
      <c r="DT18" s="1348">
        <f t="shared" si="37"/>
        <v>0</v>
      </c>
      <c r="DU18" s="101">
        <f>'Федеральные  средства  по  МО'!AD19</f>
        <v>0</v>
      </c>
      <c r="DV18" s="1350">
        <f t="shared" si="22"/>
        <v>0</v>
      </c>
      <c r="DW18" s="1342"/>
      <c r="DX18" s="1351"/>
      <c r="DY18" s="101">
        <f>'Федеральные  средства  по  МО'!AE19</f>
        <v>0</v>
      </c>
      <c r="DZ18" s="1350">
        <f t="shared" si="23"/>
        <v>0</v>
      </c>
      <c r="EA18" s="1341"/>
      <c r="EB18" s="1342"/>
      <c r="EC18" s="103">
        <f>'Федеральные  средства  по  МО'!AH19</f>
        <v>133546.75</v>
      </c>
      <c r="ED18" s="1348"/>
      <c r="EE18" s="1345">
        <f>'Проверочная  таблица'!HA20</f>
        <v>133546.75</v>
      </c>
      <c r="EF18" s="1347"/>
      <c r="EG18" s="104">
        <f>'Федеральные  средства  по  МО'!AI19</f>
        <v>133546.75</v>
      </c>
      <c r="EH18" s="1348"/>
      <c r="EI18" s="1345">
        <f>'Проверочная  таблица'!HD20</f>
        <v>133546.75</v>
      </c>
      <c r="EJ18" s="1347"/>
      <c r="EK18" s="101">
        <f>'Федеральные  средства  по  МО'!AJ19</f>
        <v>0</v>
      </c>
      <c r="EL18" s="1350"/>
      <c r="EM18" s="1342"/>
      <c r="EN18" s="1351"/>
      <c r="EO18" s="101">
        <f>'Федеральные  средства  по  МО'!AK19</f>
        <v>0</v>
      </c>
      <c r="EP18" s="1342"/>
      <c r="EQ18" s="1341"/>
      <c r="ER18" s="1342"/>
      <c r="ES18" s="103">
        <f>'Федеральные  средства  по  МО'!AL19</f>
        <v>289397.69</v>
      </c>
      <c r="ET18" s="1345">
        <f>'Проверочная  таблица'!HS20</f>
        <v>0</v>
      </c>
      <c r="EU18" s="1346">
        <f>'Проверочная  таблица'!IG20</f>
        <v>289397.69</v>
      </c>
      <c r="EV18" s="1345">
        <f>'Проверочная  таблица'!IM20</f>
        <v>0</v>
      </c>
      <c r="EW18" s="104">
        <f>'Федеральные  средства  по  МО'!AM19</f>
        <v>289397.69</v>
      </c>
      <c r="EX18" s="1345">
        <f>'Проверочная  таблица'!HV20</f>
        <v>0</v>
      </c>
      <c r="EY18" s="1346">
        <f>'Проверочная  таблица'!IJ20</f>
        <v>289397.69</v>
      </c>
      <c r="EZ18" s="1345">
        <f>'Проверочная  таблица'!IP20</f>
        <v>0</v>
      </c>
      <c r="FA18" s="101">
        <f>'Федеральные  средства  по  МО'!AN19</f>
        <v>0</v>
      </c>
      <c r="FB18" s="1342"/>
      <c r="FC18" s="1348">
        <f>'Проверочная  таблица'!JY20</f>
        <v>0</v>
      </c>
      <c r="FD18" s="1345">
        <f>'Проверочная  таблица'!KI20</f>
        <v>0</v>
      </c>
      <c r="FE18" s="104">
        <f>'Федеральные  средства  по  МО'!AO19</f>
        <v>0</v>
      </c>
      <c r="FF18" s="1348"/>
      <c r="FG18" s="1345">
        <f>'Проверочная  таблица'!KD20</f>
        <v>0</v>
      </c>
      <c r="FH18" s="1347">
        <f>'Проверочная  таблица'!KN20</f>
        <v>0</v>
      </c>
      <c r="FI18" s="104">
        <f>'Федеральные  средства  по  МО'!AP19</f>
        <v>0</v>
      </c>
      <c r="FJ18" s="1348">
        <f t="shared" si="38"/>
        <v>0</v>
      </c>
      <c r="FK18" s="1345"/>
      <c r="FL18" s="1347"/>
      <c r="FM18" s="100">
        <f>'Федеральные  средства  по  МО'!AQ19</f>
        <v>0</v>
      </c>
      <c r="FN18" s="1348">
        <f t="shared" si="24"/>
        <v>0</v>
      </c>
      <c r="FO18" s="1345"/>
      <c r="FP18" s="1346"/>
      <c r="FQ18" s="103">
        <f>'Федеральные  средства  по  МО'!AT19</f>
        <v>0</v>
      </c>
      <c r="FR18" s="1345">
        <f>'Проверочная  таблица'!IS20</f>
        <v>0</v>
      </c>
      <c r="FS18" s="1346">
        <f>'Проверочная  таблица'!JW20</f>
        <v>0</v>
      </c>
      <c r="FT18" s="1345">
        <f>'Проверочная  таблица'!KG20</f>
        <v>0</v>
      </c>
      <c r="FU18" s="104">
        <f>'Федеральные  средства  по  МО'!AU19</f>
        <v>0</v>
      </c>
      <c r="FV18" s="1345">
        <f>'Проверочная  таблица'!JC20</f>
        <v>0</v>
      </c>
      <c r="FW18" s="1346">
        <f>'Проверочная  таблица'!KB20</f>
        <v>0</v>
      </c>
      <c r="FX18" s="1345">
        <f>'Проверочная  таблица'!KL20</f>
        <v>0</v>
      </c>
      <c r="FY18" s="104">
        <f>'Федеральные  средства  по  МО'!AR19</f>
        <v>0</v>
      </c>
      <c r="FZ18" s="1345">
        <f t="shared" si="39"/>
        <v>0</v>
      </c>
      <c r="GA18" s="1346"/>
      <c r="GB18" s="1348"/>
      <c r="GC18" s="101">
        <f>'Федеральные  средства  по  МО'!AS19</f>
        <v>0</v>
      </c>
      <c r="GD18" s="1345">
        <f t="shared" si="40"/>
        <v>0</v>
      </c>
      <c r="GE18" s="1347"/>
      <c r="GF18" s="1342"/>
      <c r="GG18" s="100">
        <f>'Федеральные  средства  по  МО'!AV19</f>
        <v>0</v>
      </c>
      <c r="GH18" s="1350">
        <f t="shared" si="41"/>
        <v>0</v>
      </c>
      <c r="GI18" s="1342"/>
      <c r="GJ18" s="1351"/>
      <c r="GK18" s="101">
        <f>'Федеральные  средства  по  МО'!AW19</f>
        <v>0</v>
      </c>
      <c r="GL18" s="1350">
        <f t="shared" si="25"/>
        <v>0</v>
      </c>
      <c r="GM18" s="1342"/>
      <c r="GN18" s="1341"/>
      <c r="GO18" s="1340"/>
      <c r="GP18" s="1341"/>
      <c r="GQ18" s="1342"/>
      <c r="GR18" s="1341"/>
      <c r="GS18" s="1343"/>
      <c r="GT18" s="1342"/>
      <c r="GU18" s="1341"/>
      <c r="GV18" s="1342"/>
      <c r="GW18" s="103">
        <f>'Федеральные  средства  по  МО'!AX19</f>
        <v>0</v>
      </c>
      <c r="GX18" s="1348"/>
      <c r="GY18" s="1345"/>
      <c r="GZ18" s="1347">
        <f>'Проверочная  таблица'!MA20</f>
        <v>0</v>
      </c>
      <c r="HA18" s="104">
        <f>'Федеральные  средства  по  МО'!AY19</f>
        <v>0</v>
      </c>
      <c r="HB18" s="1348"/>
      <c r="HC18" s="1345"/>
      <c r="HD18" s="1347">
        <f>'Проверочная  таблица'!ME20</f>
        <v>0</v>
      </c>
      <c r="HE18" s="104">
        <f>'Федеральные  средства  по  МО'!BD19</f>
        <v>0</v>
      </c>
      <c r="HF18" s="1348"/>
      <c r="HG18" s="1345">
        <f t="shared" si="42"/>
        <v>0</v>
      </c>
      <c r="HH18" s="1347"/>
      <c r="HI18" s="100">
        <f>'Федеральные  средства  по  МО'!BE19</f>
        <v>0</v>
      </c>
      <c r="HJ18" s="1348"/>
      <c r="HK18" s="1345">
        <f t="shared" si="43"/>
        <v>0</v>
      </c>
      <c r="HL18" s="1347"/>
      <c r="HM18" s="103">
        <f>'Федеральные  средства  по  МО'!AZ19</f>
        <v>1174237.92</v>
      </c>
      <c r="HN18" s="1348"/>
      <c r="HO18" s="1345">
        <f t="shared" si="44"/>
        <v>1174237.92</v>
      </c>
      <c r="HP18" s="1347"/>
      <c r="HQ18" s="100">
        <f>'Федеральные  средства  по  МО'!BA19</f>
        <v>0</v>
      </c>
      <c r="HR18" s="1348"/>
      <c r="HS18" s="1345">
        <f t="shared" si="45"/>
        <v>0</v>
      </c>
      <c r="HT18" s="1346"/>
      <c r="HU18" s="103">
        <f>'Федеральные  средства  по  МО'!AF19</f>
        <v>0</v>
      </c>
      <c r="HV18" s="1345"/>
      <c r="HW18" s="1346">
        <f t="shared" si="46"/>
        <v>0</v>
      </c>
      <c r="HX18" s="1345"/>
      <c r="HY18" s="104">
        <f>'Федеральные  средства  по  МО'!AG19</f>
        <v>0</v>
      </c>
      <c r="HZ18" s="1345"/>
      <c r="IA18" s="1346">
        <f t="shared" si="47"/>
        <v>0</v>
      </c>
      <c r="IB18" s="1345"/>
      <c r="IC18" s="104">
        <f>'Федеральные  средства  по  МО'!BH19</f>
        <v>0</v>
      </c>
      <c r="ID18" s="1345">
        <f>'Проверочная  таблица'!NU20</f>
        <v>0</v>
      </c>
      <c r="IE18" s="1346"/>
      <c r="IF18" s="1345"/>
      <c r="IG18" s="104">
        <f>'Федеральные  средства  по  МО'!BI19</f>
        <v>0</v>
      </c>
      <c r="IH18" s="1345">
        <f>'Проверочная  таблица'!OB20</f>
        <v>0</v>
      </c>
      <c r="II18" s="1346"/>
      <c r="IJ18" s="1345"/>
      <c r="IK18" s="104">
        <f>'Федеральные  средства  по  МО'!BJ19</f>
        <v>0</v>
      </c>
      <c r="IL18" s="1348">
        <f>'Проверочная  таблица'!NW20</f>
        <v>0</v>
      </c>
      <c r="IM18" s="1345">
        <f>'Проверочная  таблица'!OY20</f>
        <v>0</v>
      </c>
      <c r="IN18" s="1347"/>
      <c r="IO18" s="104">
        <f>'Федеральные  средства  по  МО'!BK19</f>
        <v>0</v>
      </c>
      <c r="IP18" s="1348">
        <f>'Проверочная  таблица'!OD20</f>
        <v>0</v>
      </c>
      <c r="IQ18" s="1345">
        <f>'Проверочная  таблица'!OR20</f>
        <v>0</v>
      </c>
      <c r="IR18" s="1347"/>
      <c r="IS18" s="100">
        <f>'Федеральные  средства  по  МО'!BB19</f>
        <v>0</v>
      </c>
      <c r="IT18" s="1350"/>
      <c r="IU18" s="1342"/>
      <c r="IV18" s="1351"/>
      <c r="IW18" s="101">
        <f>'Федеральные  средства  по  МО'!BC19</f>
        <v>0</v>
      </c>
      <c r="IX18" s="1342"/>
      <c r="IY18" s="1341"/>
      <c r="IZ18" s="1342"/>
      <c r="JA18" s="101">
        <f>'Федеральные  средства  по  МО'!BF19</f>
        <v>0</v>
      </c>
      <c r="JB18" s="1350"/>
      <c r="JC18" s="1342"/>
      <c r="JD18" s="1351"/>
      <c r="JE18" s="101">
        <f>'Федеральные  средства  по  МО'!BG19</f>
        <v>0</v>
      </c>
      <c r="JF18" s="1342"/>
      <c r="JG18" s="1341"/>
      <c r="JH18" s="1342"/>
      <c r="JI18" s="103">
        <f>'Федеральные  средства  по  МО'!BL19</f>
        <v>0</v>
      </c>
      <c r="JJ18" s="1345">
        <f>'Проверочная  таблица'!PW20</f>
        <v>0</v>
      </c>
      <c r="JK18" s="1346">
        <f>'Проверочная  таблица'!QI20</f>
        <v>0</v>
      </c>
      <c r="JL18" s="1345"/>
      <c r="JM18" s="104">
        <f>'Федеральные  средства  по  МО'!BM19</f>
        <v>0</v>
      </c>
      <c r="JN18" s="1345">
        <f>'Проверочная  таблица'!PZ20</f>
        <v>0</v>
      </c>
      <c r="JO18" s="1346">
        <f>'Проверочная  таблица'!QL20</f>
        <v>0</v>
      </c>
      <c r="JP18" s="1345"/>
    </row>
    <row r="19" spans="1:276" ht="25.5" customHeight="1" x14ac:dyDescent="0.25">
      <c r="A19" s="102" t="s">
        <v>88</v>
      </c>
      <c r="B19" s="278">
        <f t="shared" si="26"/>
        <v>23728471.070000004</v>
      </c>
      <c r="C19" s="1329">
        <f t="shared" si="0"/>
        <v>22532098.720000003</v>
      </c>
      <c r="D19" s="1329">
        <f t="shared" si="0"/>
        <v>1196372.3500000001</v>
      </c>
      <c r="E19" s="1329">
        <f t="shared" si="0"/>
        <v>0</v>
      </c>
      <c r="F19" s="278">
        <f t="shared" si="27"/>
        <v>11481871.450000001</v>
      </c>
      <c r="G19" s="1329">
        <f t="shared" si="28"/>
        <v>10496009.030000001</v>
      </c>
      <c r="H19" s="1329">
        <f t="shared" si="28"/>
        <v>985862.42</v>
      </c>
      <c r="I19" s="1329">
        <f t="shared" si="28"/>
        <v>0</v>
      </c>
      <c r="J19" s="105"/>
      <c r="K19" s="1330">
        <f>M19-'Федеральные  средства  по  МО'!D20</f>
        <v>0</v>
      </c>
      <c r="L19" s="1330">
        <f>Q19-'Федеральные  средства  по  МО'!E20</f>
        <v>0</v>
      </c>
      <c r="M19" s="278">
        <f t="shared" si="1"/>
        <v>23728471.070000004</v>
      </c>
      <c r="N19" s="1329">
        <f t="shared" si="2"/>
        <v>22532098.720000003</v>
      </c>
      <c r="O19" s="1329">
        <f t="shared" si="3"/>
        <v>1196372.3500000001</v>
      </c>
      <c r="P19" s="1329">
        <f t="shared" si="4"/>
        <v>0</v>
      </c>
      <c r="Q19" s="278">
        <f t="shared" si="5"/>
        <v>11481871.449999999</v>
      </c>
      <c r="R19" s="1329">
        <f t="shared" si="6"/>
        <v>10496009.030000001</v>
      </c>
      <c r="S19" s="1329">
        <f t="shared" si="7"/>
        <v>985862.42</v>
      </c>
      <c r="T19" s="1329">
        <f t="shared" si="8"/>
        <v>0</v>
      </c>
      <c r="U19" s="103"/>
      <c r="V19" s="1345"/>
      <c r="W19" s="1346"/>
      <c r="X19" s="1345"/>
      <c r="Y19" s="101"/>
      <c r="Z19" s="1346"/>
      <c r="AA19" s="1345"/>
      <c r="AB19" s="1346"/>
      <c r="AC19" s="103">
        <f>'Федеральные  средства  по  МО'!F20</f>
        <v>0</v>
      </c>
      <c r="AD19" s="1348">
        <f>'Проверочная  таблица'!CS21</f>
        <v>0</v>
      </c>
      <c r="AE19" s="1345">
        <f>'Проверочная  таблица'!CW21</f>
        <v>0</v>
      </c>
      <c r="AF19" s="1347">
        <f>'Проверочная  таблица'!CY21</f>
        <v>0</v>
      </c>
      <c r="AG19" s="104">
        <f>'Федеральные  средства  по  МО'!G20</f>
        <v>0</v>
      </c>
      <c r="AH19" s="1348">
        <f>'Проверочная  таблица'!CT21</f>
        <v>0</v>
      </c>
      <c r="AI19" s="1345">
        <f>'Проверочная  таблица'!CX21</f>
        <v>0</v>
      </c>
      <c r="AJ19" s="1347">
        <f>'Проверочная  таблица'!CZ21</f>
        <v>0</v>
      </c>
      <c r="AK19" s="104">
        <f>'Федеральные  средства  по  МО'!H20</f>
        <v>0</v>
      </c>
      <c r="AL19" s="1345">
        <f t="shared" si="29"/>
        <v>0</v>
      </c>
      <c r="AM19" s="1346"/>
      <c r="AN19" s="1348"/>
      <c r="AO19" s="101">
        <f>'Федеральные  средства  по  МО'!I20</f>
        <v>0</v>
      </c>
      <c r="AP19" s="1345">
        <f t="shared" si="30"/>
        <v>0</v>
      </c>
      <c r="AQ19" s="1345"/>
      <c r="AR19" s="1346"/>
      <c r="AS19" s="101">
        <f>'Федеральные  средства  по  МО'!J20</f>
        <v>0</v>
      </c>
      <c r="AT19" s="1347">
        <f t="shared" si="9"/>
        <v>0</v>
      </c>
      <c r="AU19" s="1345"/>
      <c r="AV19" s="1346"/>
      <c r="AW19" s="101">
        <f>'Федеральные  средства  по  МО'!K20</f>
        <v>0</v>
      </c>
      <c r="AX19" s="1347">
        <f t="shared" si="10"/>
        <v>0</v>
      </c>
      <c r="AY19" s="1346"/>
      <c r="AZ19" s="1348"/>
      <c r="BA19" s="101">
        <f>'Федеральные  средства  по  МО'!L20</f>
        <v>0</v>
      </c>
      <c r="BB19" s="1347">
        <f t="shared" si="11"/>
        <v>0</v>
      </c>
      <c r="BC19" s="1346"/>
      <c r="BD19" s="1348"/>
      <c r="BE19" s="101">
        <f>'Федеральные  средства  по  МО'!M20</f>
        <v>0</v>
      </c>
      <c r="BF19" s="1347">
        <f t="shared" si="12"/>
        <v>0</v>
      </c>
      <c r="BG19" s="1345"/>
      <c r="BH19" s="1346"/>
      <c r="BI19" s="101">
        <f>'Федеральные  средства  по  МО'!N20</f>
        <v>0</v>
      </c>
      <c r="BJ19" s="1347">
        <f t="shared" si="13"/>
        <v>0</v>
      </c>
      <c r="BK19" s="1345"/>
      <c r="BL19" s="1346"/>
      <c r="BM19" s="101">
        <f>'Федеральные  средства  по  МО'!O20</f>
        <v>0</v>
      </c>
      <c r="BN19" s="1347">
        <f t="shared" si="14"/>
        <v>0</v>
      </c>
      <c r="BO19" s="1345"/>
      <c r="BP19" s="1346"/>
      <c r="BQ19" s="101">
        <f>'Федеральные  средства  по  МО'!P20</f>
        <v>0</v>
      </c>
      <c r="BR19" s="1347">
        <f t="shared" si="15"/>
        <v>0</v>
      </c>
      <c r="BS19" s="1345"/>
      <c r="BT19" s="1346"/>
      <c r="BU19" s="101">
        <f>'Федеральные  средства  по  МО'!Q20</f>
        <v>0</v>
      </c>
      <c r="BV19" s="1347">
        <f t="shared" si="16"/>
        <v>0</v>
      </c>
      <c r="BW19" s="1345"/>
      <c r="BX19" s="1346"/>
      <c r="BY19" s="101">
        <f>'Федеральные  средства  по  МО'!R20</f>
        <v>0</v>
      </c>
      <c r="BZ19" s="1347">
        <f t="shared" si="17"/>
        <v>0</v>
      </c>
      <c r="CA19" s="1346"/>
      <c r="CB19" s="1348"/>
      <c r="CC19" s="101">
        <f>'Федеральные  средства  по  МО'!S20</f>
        <v>0</v>
      </c>
      <c r="CD19" s="1347">
        <f t="shared" si="18"/>
        <v>0</v>
      </c>
      <c r="CE19" s="1345"/>
      <c r="CF19" s="1346"/>
      <c r="CG19" s="103">
        <f>'Федеральные  средства  по  МО'!T20</f>
        <v>0</v>
      </c>
      <c r="CH19" s="1345">
        <f t="shared" si="31"/>
        <v>0</v>
      </c>
      <c r="CI19" s="1346"/>
      <c r="CJ19" s="1345"/>
      <c r="CK19" s="104">
        <f>'Федеральные  средства  по  МО'!U20</f>
        <v>0</v>
      </c>
      <c r="CL19" s="1345">
        <f t="shared" si="32"/>
        <v>0</v>
      </c>
      <c r="CM19" s="1346"/>
      <c r="CN19" s="1345"/>
      <c r="CO19" s="100">
        <f>'Федеральные  средства  по  МО'!V20</f>
        <v>0</v>
      </c>
      <c r="CP19" s="1347"/>
      <c r="CQ19" s="1346"/>
      <c r="CR19" s="1348"/>
      <c r="CS19" s="101">
        <f>'Федеральные  средства  по  МО'!W20</f>
        <v>0</v>
      </c>
      <c r="CT19" s="1346"/>
      <c r="CU19" s="1345"/>
      <c r="CV19" s="1346"/>
      <c r="CW19" s="101">
        <f>'Федеральные  средства  по  МО'!X20</f>
        <v>0</v>
      </c>
      <c r="CX19" s="1347">
        <f t="shared" si="21"/>
        <v>0</v>
      </c>
      <c r="CY19" s="1346"/>
      <c r="CZ19" s="1348"/>
      <c r="DA19" s="101">
        <f>'Федеральные  средства  по  МО'!Y20</f>
        <v>0</v>
      </c>
      <c r="DB19" s="1347">
        <f t="shared" si="33"/>
        <v>0</v>
      </c>
      <c r="DC19" s="1345"/>
      <c r="DD19" s="1346"/>
      <c r="DE19" s="103">
        <f>'Федеральные  средства  по  МО'!Z20</f>
        <v>0</v>
      </c>
      <c r="DF19" s="1345">
        <f t="shared" si="34"/>
        <v>0</v>
      </c>
      <c r="DG19" s="1347"/>
      <c r="DH19" s="1346"/>
      <c r="DI19" s="101">
        <f>'Федеральные  средства  по  МО'!AA20</f>
        <v>0</v>
      </c>
      <c r="DJ19" s="1345">
        <f t="shared" si="35"/>
        <v>0</v>
      </c>
      <c r="DK19" s="1345"/>
      <c r="DL19" s="1346"/>
      <c r="DM19" s="101">
        <f>'Федеральные  средства  по  МО'!AB20</f>
        <v>0</v>
      </c>
      <c r="DN19" s="1347"/>
      <c r="DO19" s="1346"/>
      <c r="DP19" s="1348">
        <f t="shared" si="36"/>
        <v>0</v>
      </c>
      <c r="DQ19" s="101">
        <f>'Федеральные  средства  по  МО'!AC20</f>
        <v>0</v>
      </c>
      <c r="DR19" s="1346"/>
      <c r="DS19" s="1345"/>
      <c r="DT19" s="1348">
        <f t="shared" si="37"/>
        <v>0</v>
      </c>
      <c r="DU19" s="101">
        <f>'Федеральные  средства  по  МО'!AD20</f>
        <v>0</v>
      </c>
      <c r="DV19" s="1347">
        <f t="shared" si="22"/>
        <v>0</v>
      </c>
      <c r="DW19" s="1346"/>
      <c r="DX19" s="1348"/>
      <c r="DY19" s="101">
        <f>'Федеральные  средства  по  МО'!AE20</f>
        <v>0</v>
      </c>
      <c r="DZ19" s="1347">
        <f t="shared" si="23"/>
        <v>0</v>
      </c>
      <c r="EA19" s="1345"/>
      <c r="EB19" s="1346"/>
      <c r="EC19" s="103">
        <f>'Федеральные  средства  по  МО'!AH20</f>
        <v>202547.25</v>
      </c>
      <c r="ED19" s="1348"/>
      <c r="EE19" s="1345">
        <f>'Проверочная  таблица'!HA21</f>
        <v>202547.25</v>
      </c>
      <c r="EF19" s="1347"/>
      <c r="EG19" s="104">
        <f>'Федеральные  средства  по  МО'!AI20</f>
        <v>0</v>
      </c>
      <c r="EH19" s="1348"/>
      <c r="EI19" s="1345">
        <f>'Проверочная  таблица'!HD21</f>
        <v>0</v>
      </c>
      <c r="EJ19" s="1347"/>
      <c r="EK19" s="101">
        <f>'Федеральные  средства  по  МО'!AJ20</f>
        <v>0</v>
      </c>
      <c r="EL19" s="1347"/>
      <c r="EM19" s="1346"/>
      <c r="EN19" s="1348"/>
      <c r="EO19" s="101">
        <f>'Федеральные  средства  по  МО'!AK20</f>
        <v>0</v>
      </c>
      <c r="EP19" s="1346"/>
      <c r="EQ19" s="1345"/>
      <c r="ER19" s="1346"/>
      <c r="ES19" s="103">
        <f>'Федеральные  средства  по  МО'!AL20</f>
        <v>414158.46</v>
      </c>
      <c r="ET19" s="1345">
        <f>'Проверочная  таблица'!HS21</f>
        <v>142242.54999999999</v>
      </c>
      <c r="EU19" s="1346">
        <f>'Проверочная  таблица'!IG21</f>
        <v>271915.91000000003</v>
      </c>
      <c r="EV19" s="1345">
        <f>'Проверочная  таблица'!IM21</f>
        <v>0</v>
      </c>
      <c r="EW19" s="104">
        <f>'Федеральные  средства  по  МО'!AM20</f>
        <v>414158.46</v>
      </c>
      <c r="EX19" s="1345">
        <f>'Проверочная  таблица'!HV21</f>
        <v>142242.54999999999</v>
      </c>
      <c r="EY19" s="1346">
        <f>'Проверочная  таблица'!IJ21</f>
        <v>271915.91000000003</v>
      </c>
      <c r="EZ19" s="1345">
        <f>'Проверочная  таблица'!IP21</f>
        <v>0</v>
      </c>
      <c r="FA19" s="101">
        <f>'Федеральные  средства  по  МО'!AN20</f>
        <v>0</v>
      </c>
      <c r="FB19" s="1346"/>
      <c r="FC19" s="1348">
        <f>'Проверочная  таблица'!JY21</f>
        <v>0</v>
      </c>
      <c r="FD19" s="1345">
        <f>'Проверочная  таблица'!KI21</f>
        <v>0</v>
      </c>
      <c r="FE19" s="104">
        <f>'Федеральные  средства  по  МО'!AO20</f>
        <v>0</v>
      </c>
      <c r="FF19" s="1348"/>
      <c r="FG19" s="1345">
        <f>'Проверочная  таблица'!KD21</f>
        <v>0</v>
      </c>
      <c r="FH19" s="1347">
        <f>'Проверочная  таблица'!KN21</f>
        <v>0</v>
      </c>
      <c r="FI19" s="104">
        <f>'Федеральные  средства  по  МО'!AP20</f>
        <v>5000387.37</v>
      </c>
      <c r="FJ19" s="1348">
        <f t="shared" si="38"/>
        <v>5000387.37</v>
      </c>
      <c r="FK19" s="1345"/>
      <c r="FL19" s="1347"/>
      <c r="FM19" s="100">
        <f>'Федеральные  средства  по  МО'!AQ20</f>
        <v>4908498.1500000004</v>
      </c>
      <c r="FN19" s="1348">
        <f t="shared" si="24"/>
        <v>4908498.1500000004</v>
      </c>
      <c r="FO19" s="1345"/>
      <c r="FP19" s="1346"/>
      <c r="FQ19" s="103">
        <f>'Федеральные  средства  по  МО'!AT20</f>
        <v>0</v>
      </c>
      <c r="FR19" s="1345">
        <f>'Проверочная  таблица'!IS21</f>
        <v>0</v>
      </c>
      <c r="FS19" s="1346">
        <f>'Проверочная  таблица'!JW21</f>
        <v>0</v>
      </c>
      <c r="FT19" s="1345">
        <f>'Проверочная  таблица'!KG21</f>
        <v>0</v>
      </c>
      <c r="FU19" s="104">
        <f>'Федеральные  средства  по  МО'!AU20</f>
        <v>0</v>
      </c>
      <c r="FV19" s="1345">
        <f>'Проверочная  таблица'!JC21</f>
        <v>0</v>
      </c>
      <c r="FW19" s="1346">
        <f>'Проверочная  таблица'!KB21</f>
        <v>0</v>
      </c>
      <c r="FX19" s="1345">
        <f>'Проверочная  таблица'!KL21</f>
        <v>0</v>
      </c>
      <c r="FY19" s="104">
        <f>'Федеральные  средства  по  МО'!AR20</f>
        <v>17389468.800000001</v>
      </c>
      <c r="FZ19" s="1345">
        <f t="shared" si="39"/>
        <v>17389468.800000001</v>
      </c>
      <c r="GA19" s="1346"/>
      <c r="GB19" s="1348"/>
      <c r="GC19" s="101">
        <f>'Федеральные  средства  по  МО'!AS20</f>
        <v>5445268.3300000001</v>
      </c>
      <c r="GD19" s="1345">
        <f t="shared" si="40"/>
        <v>5445268.3300000001</v>
      </c>
      <c r="GE19" s="1347"/>
      <c r="GF19" s="1346"/>
      <c r="GG19" s="100">
        <f>'Федеральные  средства  по  МО'!AV20</f>
        <v>0</v>
      </c>
      <c r="GH19" s="1347">
        <f t="shared" si="41"/>
        <v>0</v>
      </c>
      <c r="GI19" s="1346"/>
      <c r="GJ19" s="1348"/>
      <c r="GK19" s="101">
        <f>'Федеральные  средства  по  МО'!AW20</f>
        <v>0</v>
      </c>
      <c r="GL19" s="1347">
        <f t="shared" si="25"/>
        <v>0</v>
      </c>
      <c r="GM19" s="1346"/>
      <c r="GN19" s="1345"/>
      <c r="GO19" s="104"/>
      <c r="GP19" s="1345"/>
      <c r="GQ19" s="1346"/>
      <c r="GR19" s="1345"/>
      <c r="GS19" s="100"/>
      <c r="GT19" s="1346"/>
      <c r="GU19" s="1345"/>
      <c r="GV19" s="1346"/>
      <c r="GW19" s="103">
        <f>'Федеральные  средства  по  МО'!AX20</f>
        <v>0</v>
      </c>
      <c r="GX19" s="1348"/>
      <c r="GY19" s="1345"/>
      <c r="GZ19" s="1347">
        <f>'Проверочная  таблица'!MA21</f>
        <v>0</v>
      </c>
      <c r="HA19" s="104">
        <f>'Федеральные  средства  по  МО'!AY20</f>
        <v>0</v>
      </c>
      <c r="HB19" s="1348"/>
      <c r="HC19" s="1345"/>
      <c r="HD19" s="1347">
        <f>'Проверочная  таблица'!ME21</f>
        <v>0</v>
      </c>
      <c r="HE19" s="104">
        <f>'Федеральные  средства  по  МО'!BD20</f>
        <v>0</v>
      </c>
      <c r="HF19" s="1348"/>
      <c r="HG19" s="1345">
        <f t="shared" si="42"/>
        <v>0</v>
      </c>
      <c r="HH19" s="1347"/>
      <c r="HI19" s="100">
        <f>'Федеральные  средства  по  МО'!BE20</f>
        <v>0</v>
      </c>
      <c r="HJ19" s="1348"/>
      <c r="HK19" s="1345">
        <f t="shared" si="43"/>
        <v>0</v>
      </c>
      <c r="HL19" s="1347"/>
      <c r="HM19" s="103">
        <f>'Федеральные  средства  по  МО'!AZ20</f>
        <v>721909.19</v>
      </c>
      <c r="HN19" s="1348"/>
      <c r="HO19" s="1345">
        <f t="shared" si="44"/>
        <v>721909.19</v>
      </c>
      <c r="HP19" s="1347"/>
      <c r="HQ19" s="100">
        <f>'Федеральные  средства  по  МО'!BA20</f>
        <v>713946.51</v>
      </c>
      <c r="HR19" s="1348"/>
      <c r="HS19" s="1345">
        <f t="shared" si="45"/>
        <v>713946.51</v>
      </c>
      <c r="HT19" s="1346"/>
      <c r="HU19" s="103">
        <f>'Федеральные  средства  по  МО'!AF20</f>
        <v>0</v>
      </c>
      <c r="HV19" s="1345"/>
      <c r="HW19" s="1346">
        <f t="shared" si="46"/>
        <v>0</v>
      </c>
      <c r="HX19" s="1345"/>
      <c r="HY19" s="104">
        <f>'Федеральные  средства  по  МО'!AG20</f>
        <v>0</v>
      </c>
      <c r="HZ19" s="1345"/>
      <c r="IA19" s="1346">
        <f t="shared" si="47"/>
        <v>0</v>
      </c>
      <c r="IB19" s="1345"/>
      <c r="IC19" s="104">
        <f>'Федеральные  средства  по  МО'!BH20</f>
        <v>0</v>
      </c>
      <c r="ID19" s="1345">
        <f>'Проверочная  таблица'!NU21</f>
        <v>0</v>
      </c>
      <c r="IE19" s="1346"/>
      <c r="IF19" s="1345"/>
      <c r="IG19" s="104">
        <f>'Федеральные  средства  по  МО'!BI20</f>
        <v>0</v>
      </c>
      <c r="IH19" s="1345">
        <f>'Проверочная  таблица'!OB21</f>
        <v>0</v>
      </c>
      <c r="II19" s="1346"/>
      <c r="IJ19" s="1345"/>
      <c r="IK19" s="104">
        <f>'Федеральные  средства  по  МО'!BJ20</f>
        <v>0</v>
      </c>
      <c r="IL19" s="1348">
        <f>'Проверочная  таблица'!NW21</f>
        <v>0</v>
      </c>
      <c r="IM19" s="1345">
        <f>'Проверочная  таблица'!OY21</f>
        <v>0</v>
      </c>
      <c r="IN19" s="1347"/>
      <c r="IO19" s="104">
        <f>'Федеральные  средства  по  МО'!BK20</f>
        <v>0</v>
      </c>
      <c r="IP19" s="1348">
        <f>'Проверочная  таблица'!OD21</f>
        <v>0</v>
      </c>
      <c r="IQ19" s="1345">
        <f>'Проверочная  таблица'!OR21</f>
        <v>0</v>
      </c>
      <c r="IR19" s="1347"/>
      <c r="IS19" s="100">
        <f>'Федеральные  средства  по  МО'!BB20</f>
        <v>0</v>
      </c>
      <c r="IT19" s="1347"/>
      <c r="IU19" s="1346"/>
      <c r="IV19" s="1348"/>
      <c r="IW19" s="101">
        <f>'Федеральные  средства  по  МО'!BC20</f>
        <v>0</v>
      </c>
      <c r="IX19" s="1346"/>
      <c r="IY19" s="1345"/>
      <c r="IZ19" s="1346"/>
      <c r="JA19" s="101">
        <f>'Федеральные  средства  по  МО'!BF20</f>
        <v>0</v>
      </c>
      <c r="JB19" s="1347"/>
      <c r="JC19" s="1346"/>
      <c r="JD19" s="1348"/>
      <c r="JE19" s="101">
        <f>'Федеральные  средства  по  МО'!BG20</f>
        <v>0</v>
      </c>
      <c r="JF19" s="1346"/>
      <c r="JG19" s="1345"/>
      <c r="JH19" s="1346"/>
      <c r="JI19" s="103">
        <f>'Федеральные  средства  по  МО'!BL20</f>
        <v>0</v>
      </c>
      <c r="JJ19" s="1345">
        <f>'Проверочная  таблица'!PW21</f>
        <v>0</v>
      </c>
      <c r="JK19" s="1346">
        <f>'Проверочная  таблица'!QI21</f>
        <v>0</v>
      </c>
      <c r="JL19" s="1345"/>
      <c r="JM19" s="104">
        <f>'Федеральные  средства  по  МО'!BM20</f>
        <v>0</v>
      </c>
      <c r="JN19" s="1345">
        <f>'Проверочная  таблица'!PZ21</f>
        <v>0</v>
      </c>
      <c r="JO19" s="1346">
        <f>'Проверочная  таблица'!QL21</f>
        <v>0</v>
      </c>
      <c r="JP19" s="1345"/>
    </row>
    <row r="20" spans="1:276" ht="25.5" customHeight="1" x14ac:dyDescent="0.25">
      <c r="A20" s="105" t="s">
        <v>89</v>
      </c>
      <c r="B20" s="278">
        <f t="shared" si="26"/>
        <v>171283681.78999999</v>
      </c>
      <c r="C20" s="1329">
        <f t="shared" si="0"/>
        <v>149971742.69999999</v>
      </c>
      <c r="D20" s="1329">
        <f t="shared" si="0"/>
        <v>3985380.84</v>
      </c>
      <c r="E20" s="1329">
        <f t="shared" si="0"/>
        <v>17326558.25</v>
      </c>
      <c r="F20" s="278">
        <f t="shared" si="27"/>
        <v>28120043.769999996</v>
      </c>
      <c r="G20" s="1329">
        <f t="shared" si="28"/>
        <v>10605422.779999999</v>
      </c>
      <c r="H20" s="1329">
        <f t="shared" si="28"/>
        <v>984621</v>
      </c>
      <c r="I20" s="1329">
        <f t="shared" si="28"/>
        <v>16529999.989999995</v>
      </c>
      <c r="J20" s="105"/>
      <c r="K20" s="1330">
        <f>M20-'Федеральные  средства  по  МО'!D21</f>
        <v>0</v>
      </c>
      <c r="L20" s="1330">
        <f>Q20-'Федеральные  средства  по  МО'!E21</f>
        <v>0</v>
      </c>
      <c r="M20" s="278">
        <f t="shared" si="1"/>
        <v>254953206.28999999</v>
      </c>
      <c r="N20" s="1329">
        <f t="shared" si="2"/>
        <v>149971742.69999999</v>
      </c>
      <c r="O20" s="1329">
        <f t="shared" si="3"/>
        <v>3985380.84</v>
      </c>
      <c r="P20" s="1329">
        <f t="shared" si="4"/>
        <v>100996082.75</v>
      </c>
      <c r="Q20" s="278">
        <f t="shared" si="5"/>
        <v>93940672.459999993</v>
      </c>
      <c r="R20" s="1329">
        <f t="shared" si="6"/>
        <v>10605422.779999999</v>
      </c>
      <c r="S20" s="1329">
        <f t="shared" si="7"/>
        <v>984621</v>
      </c>
      <c r="T20" s="1329">
        <f t="shared" si="8"/>
        <v>82350628.679999992</v>
      </c>
      <c r="U20" s="103"/>
      <c r="V20" s="1345"/>
      <c r="W20" s="1346"/>
      <c r="X20" s="1345"/>
      <c r="Y20" s="101"/>
      <c r="Z20" s="1346"/>
      <c r="AA20" s="1345"/>
      <c r="AB20" s="1346"/>
      <c r="AC20" s="103">
        <f>'Федеральные  средства  по  МО'!F21</f>
        <v>83669524.5</v>
      </c>
      <c r="AD20" s="1348">
        <f>'Проверочная  таблица'!CS22</f>
        <v>0</v>
      </c>
      <c r="AE20" s="1345">
        <f>'Проверочная  таблица'!CW22</f>
        <v>0</v>
      </c>
      <c r="AF20" s="1347">
        <f>'Проверочная  таблица'!CY22</f>
        <v>83669524.5</v>
      </c>
      <c r="AG20" s="104">
        <f>'Федеральные  средства  по  МО'!G21</f>
        <v>65820628.689999998</v>
      </c>
      <c r="AH20" s="1348">
        <f>'Проверочная  таблица'!CT22</f>
        <v>0</v>
      </c>
      <c r="AI20" s="1345">
        <f>'Проверочная  таблица'!CX22</f>
        <v>0</v>
      </c>
      <c r="AJ20" s="1347">
        <f>'Проверочная  таблица'!CZ22</f>
        <v>65820628.689999998</v>
      </c>
      <c r="AK20" s="104">
        <f>'Федеральные  средства  по  МО'!H21</f>
        <v>0</v>
      </c>
      <c r="AL20" s="1345">
        <f t="shared" si="29"/>
        <v>0</v>
      </c>
      <c r="AM20" s="1342"/>
      <c r="AN20" s="1351"/>
      <c r="AO20" s="101">
        <f>'Федеральные  средства  по  МО'!I21</f>
        <v>0</v>
      </c>
      <c r="AP20" s="1345">
        <f t="shared" si="30"/>
        <v>0</v>
      </c>
      <c r="AQ20" s="1341"/>
      <c r="AR20" s="1342"/>
      <c r="AS20" s="101">
        <f>'Федеральные  средства  по  МО'!J21</f>
        <v>0</v>
      </c>
      <c r="AT20" s="1350">
        <f t="shared" si="9"/>
        <v>0</v>
      </c>
      <c r="AU20" s="1341"/>
      <c r="AV20" s="1342"/>
      <c r="AW20" s="101">
        <f>'Федеральные  средства  по  МО'!K21</f>
        <v>0</v>
      </c>
      <c r="AX20" s="1350">
        <f t="shared" si="10"/>
        <v>0</v>
      </c>
      <c r="AY20" s="1342"/>
      <c r="AZ20" s="1351"/>
      <c r="BA20" s="101">
        <f>'Федеральные  средства  по  МО'!L21</f>
        <v>0</v>
      </c>
      <c r="BB20" s="1350">
        <f t="shared" si="11"/>
        <v>0</v>
      </c>
      <c r="BC20" s="1342"/>
      <c r="BD20" s="1351"/>
      <c r="BE20" s="101">
        <f>'Федеральные  средства  по  МО'!M21</f>
        <v>0</v>
      </c>
      <c r="BF20" s="1350">
        <f t="shared" si="12"/>
        <v>0</v>
      </c>
      <c r="BG20" s="1341"/>
      <c r="BH20" s="1342"/>
      <c r="BI20" s="101">
        <f>'Федеральные  средства  по  МО'!N21</f>
        <v>0</v>
      </c>
      <c r="BJ20" s="1350">
        <f t="shared" si="13"/>
        <v>0</v>
      </c>
      <c r="BK20" s="1341"/>
      <c r="BL20" s="1342"/>
      <c r="BM20" s="101">
        <f>'Федеральные  средства  по  МО'!O21</f>
        <v>0</v>
      </c>
      <c r="BN20" s="1350">
        <f t="shared" si="14"/>
        <v>0</v>
      </c>
      <c r="BO20" s="1341"/>
      <c r="BP20" s="1342"/>
      <c r="BQ20" s="101">
        <f>'Федеральные  средства  по  МО'!P21</f>
        <v>0</v>
      </c>
      <c r="BR20" s="1350">
        <f t="shared" si="15"/>
        <v>0</v>
      </c>
      <c r="BS20" s="1341"/>
      <c r="BT20" s="1342"/>
      <c r="BU20" s="101">
        <f>'Федеральные  средства  по  МО'!Q21</f>
        <v>0</v>
      </c>
      <c r="BV20" s="1350">
        <f t="shared" si="16"/>
        <v>0</v>
      </c>
      <c r="BW20" s="1341"/>
      <c r="BX20" s="1342"/>
      <c r="BY20" s="101">
        <f>'Федеральные  средства  по  МО'!R21</f>
        <v>0</v>
      </c>
      <c r="BZ20" s="1350">
        <f t="shared" si="17"/>
        <v>0</v>
      </c>
      <c r="CA20" s="1342"/>
      <c r="CB20" s="1351"/>
      <c r="CC20" s="101">
        <f>'Федеральные  средства  по  МО'!S21</f>
        <v>0</v>
      </c>
      <c r="CD20" s="1350">
        <f t="shared" si="18"/>
        <v>0</v>
      </c>
      <c r="CE20" s="1341"/>
      <c r="CF20" s="1342"/>
      <c r="CG20" s="103">
        <f>'Федеральные  средства  по  МО'!T21</f>
        <v>0</v>
      </c>
      <c r="CH20" s="1345">
        <f t="shared" si="31"/>
        <v>0</v>
      </c>
      <c r="CI20" s="1346"/>
      <c r="CJ20" s="1345"/>
      <c r="CK20" s="104">
        <f>'Федеральные  средства  по  МО'!U21</f>
        <v>0</v>
      </c>
      <c r="CL20" s="1345">
        <f t="shared" si="32"/>
        <v>0</v>
      </c>
      <c r="CM20" s="1346"/>
      <c r="CN20" s="1345"/>
      <c r="CO20" s="100">
        <f>'Федеральные  средства  по  МО'!V21</f>
        <v>0</v>
      </c>
      <c r="CP20" s="1350"/>
      <c r="CQ20" s="1342"/>
      <c r="CR20" s="1351"/>
      <c r="CS20" s="101">
        <f>'Федеральные  средства  по  МО'!W21</f>
        <v>0</v>
      </c>
      <c r="CT20" s="1342"/>
      <c r="CU20" s="1341"/>
      <c r="CV20" s="1342"/>
      <c r="CW20" s="101">
        <f>'Федеральные  средства  по  МО'!X21</f>
        <v>0</v>
      </c>
      <c r="CX20" s="1350">
        <f t="shared" si="21"/>
        <v>0</v>
      </c>
      <c r="CY20" s="1342"/>
      <c r="CZ20" s="1351"/>
      <c r="DA20" s="101">
        <f>'Федеральные  средства  по  МО'!Y21</f>
        <v>0</v>
      </c>
      <c r="DB20" s="1350">
        <f t="shared" si="33"/>
        <v>0</v>
      </c>
      <c r="DC20" s="1341"/>
      <c r="DD20" s="1342"/>
      <c r="DE20" s="103">
        <f>'Федеральные  средства  по  МО'!Z21</f>
        <v>0</v>
      </c>
      <c r="DF20" s="1345">
        <f t="shared" si="34"/>
        <v>0</v>
      </c>
      <c r="DG20" s="1350"/>
      <c r="DH20" s="1342"/>
      <c r="DI20" s="101">
        <f>'Федеральные  средства  по  МО'!AA21</f>
        <v>0</v>
      </c>
      <c r="DJ20" s="1345">
        <f t="shared" si="35"/>
        <v>0</v>
      </c>
      <c r="DK20" s="1341"/>
      <c r="DL20" s="1342"/>
      <c r="DM20" s="101">
        <f>'Федеральные  средства  по  МО'!AB21</f>
        <v>0</v>
      </c>
      <c r="DN20" s="1350"/>
      <c r="DO20" s="1342"/>
      <c r="DP20" s="1348">
        <f t="shared" si="36"/>
        <v>0</v>
      </c>
      <c r="DQ20" s="101">
        <f>'Федеральные  средства  по  МО'!AC21</f>
        <v>0</v>
      </c>
      <c r="DR20" s="1342"/>
      <c r="DS20" s="1341"/>
      <c r="DT20" s="1348">
        <f t="shared" si="37"/>
        <v>0</v>
      </c>
      <c r="DU20" s="101">
        <f>'Федеральные  средства  по  МО'!AD21</f>
        <v>0</v>
      </c>
      <c r="DV20" s="1350">
        <f t="shared" si="22"/>
        <v>0</v>
      </c>
      <c r="DW20" s="1342"/>
      <c r="DX20" s="1351"/>
      <c r="DY20" s="101">
        <f>'Федеральные  средства  по  МО'!AE21</f>
        <v>0</v>
      </c>
      <c r="DZ20" s="1350">
        <f t="shared" si="23"/>
        <v>0</v>
      </c>
      <c r="EA20" s="1341"/>
      <c r="EB20" s="1342"/>
      <c r="EC20" s="103">
        <f>'Федеральные  средства  по  МО'!AH21</f>
        <v>202246.57</v>
      </c>
      <c r="ED20" s="1348"/>
      <c r="EE20" s="1345">
        <f>'Проверочная  таблица'!HA22</f>
        <v>202246.57</v>
      </c>
      <c r="EF20" s="1347"/>
      <c r="EG20" s="104">
        <f>'Федеральные  средства  по  МО'!AI21</f>
        <v>202246.57</v>
      </c>
      <c r="EH20" s="1348"/>
      <c r="EI20" s="1345">
        <f>'Проверочная  таблица'!HD22</f>
        <v>202246.57</v>
      </c>
      <c r="EJ20" s="1347"/>
      <c r="EK20" s="101">
        <f>'Федеральные  средства  по  МО'!AJ21</f>
        <v>0</v>
      </c>
      <c r="EL20" s="1350"/>
      <c r="EM20" s="1342"/>
      <c r="EN20" s="1351"/>
      <c r="EO20" s="101">
        <f>'Федеральные  средства  по  МО'!AK21</f>
        <v>0</v>
      </c>
      <c r="EP20" s="1342"/>
      <c r="EQ20" s="1341"/>
      <c r="ER20" s="1342"/>
      <c r="ES20" s="103">
        <f>'Федеральные  средства  по  МО'!AL21</f>
        <v>1841065.38</v>
      </c>
      <c r="ET20" s="1345">
        <f>'Проверочная  таблица'!HS22</f>
        <v>262132.7</v>
      </c>
      <c r="EU20" s="1346">
        <f>'Проверочная  таблица'!IG22</f>
        <v>782374.42999999993</v>
      </c>
      <c r="EV20" s="1345">
        <f>'Проверочная  таблица'!IM22</f>
        <v>796558.25</v>
      </c>
      <c r="EW20" s="104">
        <f>'Федеральные  средства  по  МО'!AM21</f>
        <v>1044507.1299999999</v>
      </c>
      <c r="EX20" s="1345">
        <f>'Проверочная  таблица'!HV22</f>
        <v>262132.7</v>
      </c>
      <c r="EY20" s="1346">
        <f>'Проверочная  таблица'!IJ22</f>
        <v>782374.42999999993</v>
      </c>
      <c r="EZ20" s="1345">
        <f>'Проверочная  таблица'!IP22</f>
        <v>0</v>
      </c>
      <c r="FA20" s="101">
        <f>'Федеральные  средства  по  МО'!AN21</f>
        <v>0</v>
      </c>
      <c r="FB20" s="1342"/>
      <c r="FC20" s="1348">
        <f>'Проверочная  таблица'!JY22</f>
        <v>0</v>
      </c>
      <c r="FD20" s="1345">
        <f>'Проверочная  таблица'!KI22</f>
        <v>0</v>
      </c>
      <c r="FE20" s="104">
        <f>'Федеральные  средства  по  МО'!AO21</f>
        <v>0</v>
      </c>
      <c r="FF20" s="1348"/>
      <c r="FG20" s="1345">
        <f>'Проверочная  таблица'!KD22</f>
        <v>0</v>
      </c>
      <c r="FH20" s="1347">
        <f>'Проверочная  таблица'!KN22</f>
        <v>0</v>
      </c>
      <c r="FI20" s="104">
        <f>'Федеральные  средства  по  МО'!AP21</f>
        <v>0</v>
      </c>
      <c r="FJ20" s="1348">
        <f t="shared" si="38"/>
        <v>0</v>
      </c>
      <c r="FK20" s="1345"/>
      <c r="FL20" s="1347"/>
      <c r="FM20" s="100">
        <f>'Федеральные  средства  по  МО'!AQ21</f>
        <v>0</v>
      </c>
      <c r="FN20" s="1348">
        <f t="shared" si="24"/>
        <v>0</v>
      </c>
      <c r="FO20" s="1345"/>
      <c r="FP20" s="1346"/>
      <c r="FQ20" s="103">
        <f>'Федеральные  средства  по  МО'!AT21</f>
        <v>0</v>
      </c>
      <c r="FR20" s="1345">
        <f>'Проверочная  таблица'!IS22</f>
        <v>0</v>
      </c>
      <c r="FS20" s="1346">
        <f>'Проверочная  таблица'!JW22</f>
        <v>0</v>
      </c>
      <c r="FT20" s="1345">
        <f>'Проверочная  таблица'!KG22</f>
        <v>0</v>
      </c>
      <c r="FU20" s="104">
        <f>'Федеральные  средства  по  МО'!AU21</f>
        <v>0</v>
      </c>
      <c r="FV20" s="1345">
        <f>'Проверочная  таблица'!JC22</f>
        <v>0</v>
      </c>
      <c r="FW20" s="1346">
        <f>'Проверочная  таблица'!KB22</f>
        <v>0</v>
      </c>
      <c r="FX20" s="1345">
        <f>'Проверочная  таблица'!KL22</f>
        <v>0</v>
      </c>
      <c r="FY20" s="104">
        <f>'Федеральные  средства  по  МО'!AR21</f>
        <v>0</v>
      </c>
      <c r="FZ20" s="1345">
        <f t="shared" si="39"/>
        <v>0</v>
      </c>
      <c r="GA20" s="1346"/>
      <c r="GB20" s="1348"/>
      <c r="GC20" s="101">
        <f>'Федеральные  средства  по  МО'!AS21</f>
        <v>0</v>
      </c>
      <c r="GD20" s="1345">
        <f t="shared" si="40"/>
        <v>0</v>
      </c>
      <c r="GE20" s="1347"/>
      <c r="GF20" s="1342"/>
      <c r="GG20" s="100">
        <f>'Федеральные  средства  по  МО'!AV21</f>
        <v>0</v>
      </c>
      <c r="GH20" s="1350">
        <f t="shared" si="41"/>
        <v>0</v>
      </c>
      <c r="GI20" s="1342"/>
      <c r="GJ20" s="1351"/>
      <c r="GK20" s="101">
        <f>'Федеральные  средства  по  МО'!AW21</f>
        <v>0</v>
      </c>
      <c r="GL20" s="1350">
        <f t="shared" si="25"/>
        <v>0</v>
      </c>
      <c r="GM20" s="1342"/>
      <c r="GN20" s="1341"/>
      <c r="GO20" s="1340"/>
      <c r="GP20" s="1341"/>
      <c r="GQ20" s="1342"/>
      <c r="GR20" s="1341"/>
      <c r="GS20" s="1343"/>
      <c r="GT20" s="1342"/>
      <c r="GU20" s="1341"/>
      <c r="GV20" s="1342"/>
      <c r="GW20" s="103">
        <f>'Федеральные  средства  по  МО'!AX21</f>
        <v>16530000</v>
      </c>
      <c r="GX20" s="1348"/>
      <c r="GY20" s="1345"/>
      <c r="GZ20" s="1347">
        <f>'Проверочная  таблица'!MA22</f>
        <v>16530000</v>
      </c>
      <c r="HA20" s="104">
        <f>'Федеральные  средства  по  МО'!AY21</f>
        <v>16529999.99</v>
      </c>
      <c r="HB20" s="1348"/>
      <c r="HC20" s="1345"/>
      <c r="HD20" s="1347">
        <f>'Проверочная  таблица'!ME22</f>
        <v>16529999.99</v>
      </c>
      <c r="HE20" s="104">
        <f>'Федеральные  средства  по  МО'!BD21</f>
        <v>0</v>
      </c>
      <c r="HF20" s="1348"/>
      <c r="HG20" s="1345">
        <f t="shared" si="42"/>
        <v>0</v>
      </c>
      <c r="HH20" s="1347"/>
      <c r="HI20" s="100">
        <f>'Федеральные  средства  по  МО'!BE21</f>
        <v>0</v>
      </c>
      <c r="HJ20" s="1348"/>
      <c r="HK20" s="1345">
        <f t="shared" si="43"/>
        <v>0</v>
      </c>
      <c r="HL20" s="1347"/>
      <c r="HM20" s="103">
        <f>'Федеральные  средства  по  МО'!AZ21</f>
        <v>1511159.8399999999</v>
      </c>
      <c r="HN20" s="1348"/>
      <c r="HO20" s="1345">
        <f t="shared" si="44"/>
        <v>1511159.8399999999</v>
      </c>
      <c r="HP20" s="1347"/>
      <c r="HQ20" s="100">
        <f>'Федеральные  средства  по  МО'!BA21</f>
        <v>0</v>
      </c>
      <c r="HR20" s="1348"/>
      <c r="HS20" s="1345">
        <f t="shared" si="45"/>
        <v>0</v>
      </c>
      <c r="HT20" s="1346"/>
      <c r="HU20" s="103">
        <f>'Федеральные  средства  по  МО'!AF21</f>
        <v>0</v>
      </c>
      <c r="HV20" s="1345"/>
      <c r="HW20" s="1346">
        <f t="shared" si="46"/>
        <v>0</v>
      </c>
      <c r="HX20" s="1345"/>
      <c r="HY20" s="104">
        <f>'Федеральные  средства  по  МО'!AG21</f>
        <v>0</v>
      </c>
      <c r="HZ20" s="1345"/>
      <c r="IA20" s="1346">
        <f t="shared" si="47"/>
        <v>0</v>
      </c>
      <c r="IB20" s="1345"/>
      <c r="IC20" s="104">
        <f>'Федеральные  средства  по  МО'!BH21</f>
        <v>139638100</v>
      </c>
      <c r="ID20" s="1345">
        <f>'Проверочная  таблица'!NU22</f>
        <v>139638100</v>
      </c>
      <c r="IE20" s="1346"/>
      <c r="IF20" s="1345"/>
      <c r="IG20" s="104">
        <f>'Федеральные  средства  по  МО'!BI21</f>
        <v>10343290.08</v>
      </c>
      <c r="IH20" s="1345">
        <f>'Проверочная  таблица'!OB22</f>
        <v>10343290.08</v>
      </c>
      <c r="II20" s="1346"/>
      <c r="IJ20" s="1345"/>
      <c r="IK20" s="104">
        <f>'Федеральные  средства  по  МО'!BJ21</f>
        <v>0</v>
      </c>
      <c r="IL20" s="1348">
        <f>'Проверочная  таблица'!NW22</f>
        <v>0</v>
      </c>
      <c r="IM20" s="1345">
        <f>'Проверочная  таблица'!OY22</f>
        <v>0</v>
      </c>
      <c r="IN20" s="1347"/>
      <c r="IO20" s="104">
        <f>'Федеральные  средства  по  МО'!BK21</f>
        <v>0</v>
      </c>
      <c r="IP20" s="1348">
        <f>'Проверочная  таблица'!OD22</f>
        <v>0</v>
      </c>
      <c r="IQ20" s="1345">
        <f>'Проверочная  таблица'!OR22</f>
        <v>0</v>
      </c>
      <c r="IR20" s="1347"/>
      <c r="IS20" s="100">
        <f>'Федеральные  средства  по  МО'!BB21</f>
        <v>0</v>
      </c>
      <c r="IT20" s="1350"/>
      <c r="IU20" s="1342"/>
      <c r="IV20" s="1351"/>
      <c r="IW20" s="101">
        <f>'Федеральные  средства  по  МО'!BC21</f>
        <v>0</v>
      </c>
      <c r="IX20" s="1342"/>
      <c r="IY20" s="1341"/>
      <c r="IZ20" s="1342"/>
      <c r="JA20" s="101">
        <f>'Федеральные  средства  по  МО'!BF21</f>
        <v>0</v>
      </c>
      <c r="JB20" s="1350"/>
      <c r="JC20" s="1342"/>
      <c r="JD20" s="1351"/>
      <c r="JE20" s="101">
        <f>'Федеральные  средства  по  МО'!BG21</f>
        <v>0</v>
      </c>
      <c r="JF20" s="1342"/>
      <c r="JG20" s="1341"/>
      <c r="JH20" s="1342"/>
      <c r="JI20" s="103">
        <f>'Федеральные  средства  по  МО'!BL21</f>
        <v>11561110</v>
      </c>
      <c r="JJ20" s="1345">
        <f>'Проверочная  таблица'!PW22</f>
        <v>10071510</v>
      </c>
      <c r="JK20" s="1346">
        <f>'Проверочная  таблица'!QI22</f>
        <v>1489600</v>
      </c>
      <c r="JL20" s="1345"/>
      <c r="JM20" s="104">
        <f>'Федеральные  средства  по  МО'!BM21</f>
        <v>0</v>
      </c>
      <c r="JN20" s="1345">
        <f>'Проверочная  таблица'!PZ22</f>
        <v>0</v>
      </c>
      <c r="JO20" s="1346">
        <f>'Проверочная  таблица'!QL22</f>
        <v>0</v>
      </c>
      <c r="JP20" s="1345"/>
    </row>
    <row r="21" spans="1:276" ht="25.5" customHeight="1" x14ac:dyDescent="0.25">
      <c r="A21" s="102" t="s">
        <v>90</v>
      </c>
      <c r="B21" s="278">
        <f t="shared" si="26"/>
        <v>45681984.270000003</v>
      </c>
      <c r="C21" s="1329">
        <f t="shared" si="0"/>
        <v>44269138.57</v>
      </c>
      <c r="D21" s="1329">
        <f t="shared" si="0"/>
        <v>1412845.7</v>
      </c>
      <c r="E21" s="1329">
        <f t="shared" si="0"/>
        <v>0</v>
      </c>
      <c r="F21" s="278">
        <f t="shared" si="27"/>
        <v>33230930.73</v>
      </c>
      <c r="G21" s="1329">
        <f t="shared" si="28"/>
        <v>32831894.670000002</v>
      </c>
      <c r="H21" s="1329">
        <f t="shared" si="28"/>
        <v>399036.06</v>
      </c>
      <c r="I21" s="1329">
        <f t="shared" si="28"/>
        <v>0</v>
      </c>
      <c r="J21" s="105"/>
      <c r="K21" s="1330">
        <f>M21-'Федеральные  средства  по  МО'!D22</f>
        <v>0</v>
      </c>
      <c r="L21" s="1330">
        <f>Q21-'Федеральные  средства  по  МО'!E22</f>
        <v>0</v>
      </c>
      <c r="M21" s="278">
        <f t="shared" si="1"/>
        <v>45681984.270000003</v>
      </c>
      <c r="N21" s="1329">
        <f t="shared" si="2"/>
        <v>44269138.57</v>
      </c>
      <c r="O21" s="1329">
        <f t="shared" si="3"/>
        <v>1412845.7</v>
      </c>
      <c r="P21" s="1329">
        <f t="shared" si="4"/>
        <v>0</v>
      </c>
      <c r="Q21" s="278">
        <f t="shared" si="5"/>
        <v>33230930.730000004</v>
      </c>
      <c r="R21" s="1329">
        <f t="shared" si="6"/>
        <v>32831894.670000002</v>
      </c>
      <c r="S21" s="1329">
        <f t="shared" si="7"/>
        <v>399036.06</v>
      </c>
      <c r="T21" s="1329">
        <f t="shared" si="8"/>
        <v>0</v>
      </c>
      <c r="U21" s="103"/>
      <c r="V21" s="1345"/>
      <c r="W21" s="1346"/>
      <c r="X21" s="1345"/>
      <c r="Y21" s="101"/>
      <c r="Z21" s="1346"/>
      <c r="AA21" s="1345"/>
      <c r="AB21" s="1346"/>
      <c r="AC21" s="103">
        <f>'Федеральные  средства  по  МО'!F22</f>
        <v>0</v>
      </c>
      <c r="AD21" s="1348">
        <f>'Проверочная  таблица'!CS23</f>
        <v>0</v>
      </c>
      <c r="AE21" s="1345">
        <f>'Проверочная  таблица'!CW23</f>
        <v>0</v>
      </c>
      <c r="AF21" s="1347">
        <f>'Проверочная  таблица'!CY23</f>
        <v>0</v>
      </c>
      <c r="AG21" s="104">
        <f>'Федеральные  средства  по  МО'!G22</f>
        <v>0</v>
      </c>
      <c r="AH21" s="1348">
        <f>'Проверочная  таблица'!CT23</f>
        <v>0</v>
      </c>
      <c r="AI21" s="1345">
        <f>'Проверочная  таблица'!CX23</f>
        <v>0</v>
      </c>
      <c r="AJ21" s="1347">
        <f>'Проверочная  таблица'!CZ23</f>
        <v>0</v>
      </c>
      <c r="AK21" s="104">
        <f>'Федеральные  средства  по  МО'!H22</f>
        <v>44180000</v>
      </c>
      <c r="AL21" s="1345">
        <f t="shared" si="29"/>
        <v>44180000</v>
      </c>
      <c r="AM21" s="1346"/>
      <c r="AN21" s="1348"/>
      <c r="AO21" s="101">
        <f>'Федеральные  средства  по  МО'!I22</f>
        <v>32742756.100000001</v>
      </c>
      <c r="AP21" s="1345">
        <f t="shared" si="30"/>
        <v>32742756.100000001</v>
      </c>
      <c r="AQ21" s="1345"/>
      <c r="AR21" s="1346"/>
      <c r="AS21" s="101">
        <f>'Федеральные  средства  по  МО'!J22</f>
        <v>0</v>
      </c>
      <c r="AT21" s="1347">
        <f t="shared" si="9"/>
        <v>0</v>
      </c>
      <c r="AU21" s="1345"/>
      <c r="AV21" s="1346"/>
      <c r="AW21" s="101">
        <f>'Федеральные  средства  по  МО'!K22</f>
        <v>0</v>
      </c>
      <c r="AX21" s="1347">
        <f t="shared" si="10"/>
        <v>0</v>
      </c>
      <c r="AY21" s="1346"/>
      <c r="AZ21" s="1348"/>
      <c r="BA21" s="101">
        <f>'Федеральные  средства  по  МО'!L22</f>
        <v>0</v>
      </c>
      <c r="BB21" s="1347">
        <f t="shared" si="11"/>
        <v>0</v>
      </c>
      <c r="BC21" s="1346"/>
      <c r="BD21" s="1348"/>
      <c r="BE21" s="101">
        <f>'Федеральные  средства  по  МО'!M22</f>
        <v>0</v>
      </c>
      <c r="BF21" s="1347">
        <f t="shared" si="12"/>
        <v>0</v>
      </c>
      <c r="BG21" s="1345"/>
      <c r="BH21" s="1346"/>
      <c r="BI21" s="101">
        <f>'Федеральные  средства  по  МО'!N22</f>
        <v>0</v>
      </c>
      <c r="BJ21" s="1347">
        <f t="shared" si="13"/>
        <v>0</v>
      </c>
      <c r="BK21" s="1345"/>
      <c r="BL21" s="1346"/>
      <c r="BM21" s="101">
        <f>'Федеральные  средства  по  МО'!O22</f>
        <v>0</v>
      </c>
      <c r="BN21" s="1347">
        <f t="shared" si="14"/>
        <v>0</v>
      </c>
      <c r="BO21" s="1345"/>
      <c r="BP21" s="1346"/>
      <c r="BQ21" s="101">
        <f>'Федеральные  средства  по  МО'!P22</f>
        <v>0</v>
      </c>
      <c r="BR21" s="1347">
        <f t="shared" si="15"/>
        <v>0</v>
      </c>
      <c r="BS21" s="1345"/>
      <c r="BT21" s="1346"/>
      <c r="BU21" s="101">
        <f>'Федеральные  средства  по  МО'!Q22</f>
        <v>0</v>
      </c>
      <c r="BV21" s="1347">
        <f t="shared" si="16"/>
        <v>0</v>
      </c>
      <c r="BW21" s="1345"/>
      <c r="BX21" s="1346"/>
      <c r="BY21" s="101">
        <f>'Федеральные  средства  по  МО'!R22</f>
        <v>0</v>
      </c>
      <c r="BZ21" s="1347">
        <f t="shared" si="17"/>
        <v>0</v>
      </c>
      <c r="CA21" s="1346"/>
      <c r="CB21" s="1348"/>
      <c r="CC21" s="101">
        <f>'Федеральные  средства  по  МО'!S22</f>
        <v>0</v>
      </c>
      <c r="CD21" s="1347">
        <f t="shared" si="18"/>
        <v>0</v>
      </c>
      <c r="CE21" s="1345"/>
      <c r="CF21" s="1346"/>
      <c r="CG21" s="103">
        <f>'Федеральные  средства  по  МО'!T22</f>
        <v>0</v>
      </c>
      <c r="CH21" s="1345">
        <f t="shared" si="31"/>
        <v>0</v>
      </c>
      <c r="CI21" s="1346"/>
      <c r="CJ21" s="1345"/>
      <c r="CK21" s="104">
        <f>'Федеральные  средства  по  МО'!U22</f>
        <v>0</v>
      </c>
      <c r="CL21" s="1345">
        <f t="shared" si="32"/>
        <v>0</v>
      </c>
      <c r="CM21" s="1346"/>
      <c r="CN21" s="1345"/>
      <c r="CO21" s="100">
        <f>'Федеральные  средства  по  МО'!V22</f>
        <v>0</v>
      </c>
      <c r="CP21" s="1347"/>
      <c r="CQ21" s="1346"/>
      <c r="CR21" s="1348"/>
      <c r="CS21" s="101">
        <f>'Федеральные  средства  по  МО'!W22</f>
        <v>0</v>
      </c>
      <c r="CT21" s="1346"/>
      <c r="CU21" s="1345"/>
      <c r="CV21" s="1346"/>
      <c r="CW21" s="101">
        <f>'Федеральные  средства  по  МО'!X22</f>
        <v>0</v>
      </c>
      <c r="CX21" s="1347">
        <f t="shared" si="21"/>
        <v>0</v>
      </c>
      <c r="CY21" s="1346"/>
      <c r="CZ21" s="1348"/>
      <c r="DA21" s="101">
        <f>'Федеральные  средства  по  МО'!Y22</f>
        <v>0</v>
      </c>
      <c r="DB21" s="1347">
        <f t="shared" si="33"/>
        <v>0</v>
      </c>
      <c r="DC21" s="1345"/>
      <c r="DD21" s="1346"/>
      <c r="DE21" s="103">
        <f>'Федеральные  средства  по  МО'!Z22</f>
        <v>0</v>
      </c>
      <c r="DF21" s="1345">
        <f t="shared" si="34"/>
        <v>0</v>
      </c>
      <c r="DG21" s="1347"/>
      <c r="DH21" s="1346"/>
      <c r="DI21" s="101">
        <f>'Федеральные  средства  по  МО'!AA22</f>
        <v>0</v>
      </c>
      <c r="DJ21" s="1345">
        <f t="shared" si="35"/>
        <v>0</v>
      </c>
      <c r="DK21" s="1345"/>
      <c r="DL21" s="1346"/>
      <c r="DM21" s="101">
        <f>'Федеральные  средства  по  МО'!AB22</f>
        <v>0</v>
      </c>
      <c r="DN21" s="1347"/>
      <c r="DO21" s="1346"/>
      <c r="DP21" s="1348">
        <f t="shared" si="36"/>
        <v>0</v>
      </c>
      <c r="DQ21" s="101">
        <f>'Федеральные  средства  по  МО'!AC22</f>
        <v>0</v>
      </c>
      <c r="DR21" s="1346"/>
      <c r="DS21" s="1345"/>
      <c r="DT21" s="1348">
        <f t="shared" si="37"/>
        <v>0</v>
      </c>
      <c r="DU21" s="101">
        <f>'Федеральные  средства  по  МО'!AD22</f>
        <v>0</v>
      </c>
      <c r="DV21" s="1347">
        <f t="shared" si="22"/>
        <v>0</v>
      </c>
      <c r="DW21" s="1346"/>
      <c r="DX21" s="1348"/>
      <c r="DY21" s="101">
        <f>'Федеральные  средства  по  МО'!AE22</f>
        <v>0</v>
      </c>
      <c r="DZ21" s="1347">
        <f t="shared" si="23"/>
        <v>0</v>
      </c>
      <c r="EA21" s="1345"/>
      <c r="EB21" s="1346"/>
      <c r="EC21" s="103">
        <f>'Федеральные  средства  по  МО'!AH22</f>
        <v>0</v>
      </c>
      <c r="ED21" s="1348"/>
      <c r="EE21" s="1345">
        <f>'Проверочная  таблица'!HA23</f>
        <v>0</v>
      </c>
      <c r="EF21" s="1347"/>
      <c r="EG21" s="104">
        <f>'Федеральные  средства  по  МО'!AI22</f>
        <v>0</v>
      </c>
      <c r="EH21" s="1348"/>
      <c r="EI21" s="1345">
        <f>'Проверочная  таблица'!HD23</f>
        <v>0</v>
      </c>
      <c r="EJ21" s="1347"/>
      <c r="EK21" s="101">
        <f>'Федеральные  средства  по  МО'!AJ22</f>
        <v>0</v>
      </c>
      <c r="EL21" s="1347"/>
      <c r="EM21" s="1346"/>
      <c r="EN21" s="1348"/>
      <c r="EO21" s="101">
        <f>'Федеральные  средства  по  МО'!AK22</f>
        <v>0</v>
      </c>
      <c r="EP21" s="1346"/>
      <c r="EQ21" s="1345"/>
      <c r="ER21" s="1346"/>
      <c r="ES21" s="103">
        <f>'Федеральные  средства  по  МО'!AL22</f>
        <v>346401.64</v>
      </c>
      <c r="ET21" s="1345">
        <f>'Проверочная  таблица'!HS23</f>
        <v>89138.57</v>
      </c>
      <c r="EU21" s="1346">
        <f>'Проверочная  таблица'!IG23</f>
        <v>257263.07</v>
      </c>
      <c r="EV21" s="1345">
        <f>'Проверочная  таблица'!IM23</f>
        <v>0</v>
      </c>
      <c r="EW21" s="104">
        <f>'Федеральные  средства  по  МО'!AM22</f>
        <v>235287.01</v>
      </c>
      <c r="EX21" s="1345">
        <f>'Проверочная  таблица'!HV23</f>
        <v>89138.57</v>
      </c>
      <c r="EY21" s="1346">
        <f>'Проверочная  таблица'!IJ23</f>
        <v>146148.44</v>
      </c>
      <c r="EZ21" s="1345">
        <f>'Проверочная  таблица'!IP23</f>
        <v>0</v>
      </c>
      <c r="FA21" s="101">
        <f>'Федеральные  средства  по  МО'!AN22</f>
        <v>0</v>
      </c>
      <c r="FB21" s="1346"/>
      <c r="FC21" s="1348">
        <f>'Проверочная  таблица'!JY23</f>
        <v>0</v>
      </c>
      <c r="FD21" s="1345">
        <f>'Проверочная  таблица'!KI23</f>
        <v>0</v>
      </c>
      <c r="FE21" s="104">
        <f>'Федеральные  средства  по  МО'!AO22</f>
        <v>0</v>
      </c>
      <c r="FF21" s="1348"/>
      <c r="FG21" s="1345">
        <f>'Проверочная  таблица'!KD23</f>
        <v>0</v>
      </c>
      <c r="FH21" s="1347">
        <f>'Проверочная  таблица'!KN23</f>
        <v>0</v>
      </c>
      <c r="FI21" s="104">
        <f>'Федеральные  средства  по  МО'!AP22</f>
        <v>0</v>
      </c>
      <c r="FJ21" s="1348">
        <f t="shared" si="38"/>
        <v>0</v>
      </c>
      <c r="FK21" s="1345"/>
      <c r="FL21" s="1347"/>
      <c r="FM21" s="100">
        <f>'Федеральные  средства  по  МО'!AQ22</f>
        <v>0</v>
      </c>
      <c r="FN21" s="1348">
        <f t="shared" si="24"/>
        <v>0</v>
      </c>
      <c r="FO21" s="1345"/>
      <c r="FP21" s="1346"/>
      <c r="FQ21" s="103">
        <f>'Федеральные  средства  по  МО'!AT22</f>
        <v>0</v>
      </c>
      <c r="FR21" s="1345">
        <f>'Проверочная  таблица'!IS23</f>
        <v>0</v>
      </c>
      <c r="FS21" s="1346">
        <f>'Проверочная  таблица'!JW23</f>
        <v>0</v>
      </c>
      <c r="FT21" s="1345">
        <f>'Проверочная  таблица'!KG23</f>
        <v>0</v>
      </c>
      <c r="FU21" s="104">
        <f>'Федеральные  средства  по  МО'!AU22</f>
        <v>0</v>
      </c>
      <c r="FV21" s="1345">
        <f>'Проверочная  таблица'!JC23</f>
        <v>0</v>
      </c>
      <c r="FW21" s="1346">
        <f>'Проверочная  таблица'!KB23</f>
        <v>0</v>
      </c>
      <c r="FX21" s="1345">
        <f>'Проверочная  таблица'!KL23</f>
        <v>0</v>
      </c>
      <c r="FY21" s="104">
        <f>'Федеральные  средства  по  МО'!AR22</f>
        <v>0</v>
      </c>
      <c r="FZ21" s="1345">
        <f t="shared" si="39"/>
        <v>0</v>
      </c>
      <c r="GA21" s="1346"/>
      <c r="GB21" s="1348"/>
      <c r="GC21" s="101">
        <f>'Федеральные  средства  по  МО'!AS22</f>
        <v>0</v>
      </c>
      <c r="GD21" s="1345">
        <f t="shared" si="40"/>
        <v>0</v>
      </c>
      <c r="GE21" s="1347"/>
      <c r="GF21" s="1346"/>
      <c r="GG21" s="100">
        <f>'Федеральные  средства  по  МО'!AV22</f>
        <v>0</v>
      </c>
      <c r="GH21" s="1347">
        <f t="shared" si="41"/>
        <v>0</v>
      </c>
      <c r="GI21" s="1346"/>
      <c r="GJ21" s="1348"/>
      <c r="GK21" s="101">
        <f>'Федеральные  средства  по  МО'!AW22</f>
        <v>0</v>
      </c>
      <c r="GL21" s="1347">
        <f t="shared" si="25"/>
        <v>0</v>
      </c>
      <c r="GM21" s="1346"/>
      <c r="GN21" s="1345"/>
      <c r="GO21" s="104"/>
      <c r="GP21" s="1345"/>
      <c r="GQ21" s="1346"/>
      <c r="GR21" s="1345"/>
      <c r="GS21" s="100"/>
      <c r="GT21" s="1346"/>
      <c r="GU21" s="1345"/>
      <c r="GV21" s="1346"/>
      <c r="GW21" s="103">
        <f>'Федеральные  средства  по  МО'!AX22</f>
        <v>0</v>
      </c>
      <c r="GX21" s="1348"/>
      <c r="GY21" s="1345"/>
      <c r="GZ21" s="1347">
        <f>'Проверочная  таблица'!MA23</f>
        <v>0</v>
      </c>
      <c r="HA21" s="104">
        <f>'Федеральные  средства  по  МО'!AY22</f>
        <v>0</v>
      </c>
      <c r="HB21" s="1348"/>
      <c r="HC21" s="1345"/>
      <c r="HD21" s="1347">
        <f>'Проверочная  таблица'!ME23</f>
        <v>0</v>
      </c>
      <c r="HE21" s="104">
        <f>'Федеральные  средства  по  МО'!BD22</f>
        <v>0</v>
      </c>
      <c r="HF21" s="1348"/>
      <c r="HG21" s="1345">
        <f t="shared" si="42"/>
        <v>0</v>
      </c>
      <c r="HH21" s="1347"/>
      <c r="HI21" s="100">
        <f>'Федеральные  средства  по  МО'!BE22</f>
        <v>0</v>
      </c>
      <c r="HJ21" s="1348"/>
      <c r="HK21" s="1345">
        <f t="shared" si="43"/>
        <v>0</v>
      </c>
      <c r="HL21" s="1347"/>
      <c r="HM21" s="103">
        <f>'Федеральные  средства  по  МО'!AZ22</f>
        <v>503882.63</v>
      </c>
      <c r="HN21" s="1348"/>
      <c r="HO21" s="1345">
        <f t="shared" si="44"/>
        <v>503882.63</v>
      </c>
      <c r="HP21" s="1347"/>
      <c r="HQ21" s="100">
        <f>'Федеральные  средства  по  МО'!BA22</f>
        <v>252887.62</v>
      </c>
      <c r="HR21" s="1348"/>
      <c r="HS21" s="1345">
        <f t="shared" si="45"/>
        <v>252887.62</v>
      </c>
      <c r="HT21" s="1346"/>
      <c r="HU21" s="103">
        <f>'Федеральные  средства  по  МО'!AF22</f>
        <v>651700</v>
      </c>
      <c r="HV21" s="1345"/>
      <c r="HW21" s="1346">
        <f t="shared" si="46"/>
        <v>651700</v>
      </c>
      <c r="HX21" s="1345"/>
      <c r="HY21" s="104">
        <f>'Федеральные  средства  по  МО'!AG22</f>
        <v>0</v>
      </c>
      <c r="HZ21" s="1345"/>
      <c r="IA21" s="1346">
        <f t="shared" si="47"/>
        <v>0</v>
      </c>
      <c r="IB21" s="1345"/>
      <c r="IC21" s="104">
        <f>'Федеральные  средства  по  МО'!BH22</f>
        <v>0</v>
      </c>
      <c r="ID21" s="1345">
        <f>'Проверочная  таблица'!NU23</f>
        <v>0</v>
      </c>
      <c r="IE21" s="1346"/>
      <c r="IF21" s="1345"/>
      <c r="IG21" s="104">
        <f>'Федеральные  средства  по  МО'!BI22</f>
        <v>0</v>
      </c>
      <c r="IH21" s="1345">
        <f>'Проверочная  таблица'!OB23</f>
        <v>0</v>
      </c>
      <c r="II21" s="1346"/>
      <c r="IJ21" s="1345"/>
      <c r="IK21" s="104">
        <f>'Федеральные  средства  по  МО'!BJ22</f>
        <v>0</v>
      </c>
      <c r="IL21" s="1348">
        <f>'Проверочная  таблица'!NW23</f>
        <v>0</v>
      </c>
      <c r="IM21" s="1345">
        <f>'Проверочная  таблица'!OY23</f>
        <v>0</v>
      </c>
      <c r="IN21" s="1347"/>
      <c r="IO21" s="104">
        <f>'Федеральные  средства  по  МО'!BK22</f>
        <v>0</v>
      </c>
      <c r="IP21" s="1348">
        <f>'Проверочная  таблица'!OD23</f>
        <v>0</v>
      </c>
      <c r="IQ21" s="1345">
        <f>'Проверочная  таблица'!OR23</f>
        <v>0</v>
      </c>
      <c r="IR21" s="1347"/>
      <c r="IS21" s="100">
        <f>'Федеральные  средства  по  МО'!BB22</f>
        <v>0</v>
      </c>
      <c r="IT21" s="1347"/>
      <c r="IU21" s="1346"/>
      <c r="IV21" s="1348"/>
      <c r="IW21" s="101">
        <f>'Федеральные  средства  по  МО'!BC22</f>
        <v>0</v>
      </c>
      <c r="IX21" s="1346"/>
      <c r="IY21" s="1345"/>
      <c r="IZ21" s="1346"/>
      <c r="JA21" s="101">
        <f>'Федеральные  средства  по  МО'!BF22</f>
        <v>0</v>
      </c>
      <c r="JB21" s="1347"/>
      <c r="JC21" s="1346"/>
      <c r="JD21" s="1348"/>
      <c r="JE21" s="101">
        <f>'Федеральные  средства  по  МО'!BG22</f>
        <v>0</v>
      </c>
      <c r="JF21" s="1346"/>
      <c r="JG21" s="1345"/>
      <c r="JH21" s="1346"/>
      <c r="JI21" s="103">
        <f>'Федеральные  средства  по  МО'!BL22</f>
        <v>0</v>
      </c>
      <c r="JJ21" s="1345">
        <f>'Проверочная  таблица'!PW23</f>
        <v>0</v>
      </c>
      <c r="JK21" s="1346">
        <f>'Проверочная  таблица'!QI23</f>
        <v>0</v>
      </c>
      <c r="JL21" s="1345"/>
      <c r="JM21" s="104">
        <f>'Федеральные  средства  по  МО'!BM22</f>
        <v>0</v>
      </c>
      <c r="JN21" s="1345">
        <f>'Проверочная  таблица'!PZ23</f>
        <v>0</v>
      </c>
      <c r="JO21" s="1346">
        <f>'Проверочная  таблица'!QL23</f>
        <v>0</v>
      </c>
      <c r="JP21" s="1345"/>
    </row>
    <row r="22" spans="1:276" ht="25.5" customHeight="1" x14ac:dyDescent="0.25">
      <c r="A22" s="105" t="s">
        <v>91</v>
      </c>
      <c r="B22" s="278">
        <f t="shared" si="26"/>
        <v>31580537.18</v>
      </c>
      <c r="C22" s="1329">
        <f t="shared" si="0"/>
        <v>28948689.359999999</v>
      </c>
      <c r="D22" s="1329">
        <f t="shared" si="0"/>
        <v>2631847.8200000003</v>
      </c>
      <c r="E22" s="1329">
        <f t="shared" si="0"/>
        <v>0</v>
      </c>
      <c r="F22" s="278">
        <f t="shared" si="27"/>
        <v>20622304.719999999</v>
      </c>
      <c r="G22" s="1329">
        <f t="shared" si="28"/>
        <v>19664191.25</v>
      </c>
      <c r="H22" s="1329">
        <f t="shared" si="28"/>
        <v>958113.47</v>
      </c>
      <c r="I22" s="1329">
        <f t="shared" si="28"/>
        <v>0</v>
      </c>
      <c r="J22" s="105"/>
      <c r="K22" s="1330">
        <f>M22-'Федеральные  средства  по  МО'!D23</f>
        <v>0</v>
      </c>
      <c r="L22" s="1330">
        <f>Q22-'Федеральные  средства  по  МО'!E23</f>
        <v>0</v>
      </c>
      <c r="M22" s="278">
        <f t="shared" si="1"/>
        <v>31580537.18</v>
      </c>
      <c r="N22" s="1329">
        <f t="shared" si="2"/>
        <v>28948689.359999999</v>
      </c>
      <c r="O22" s="1329">
        <f t="shared" si="3"/>
        <v>2631847.8200000003</v>
      </c>
      <c r="P22" s="1329">
        <f t="shared" si="4"/>
        <v>0</v>
      </c>
      <c r="Q22" s="278">
        <f t="shared" si="5"/>
        <v>20622304.720000003</v>
      </c>
      <c r="R22" s="1329">
        <f t="shared" si="6"/>
        <v>19664191.25</v>
      </c>
      <c r="S22" s="1329">
        <f t="shared" si="7"/>
        <v>958113.47</v>
      </c>
      <c r="T22" s="1329">
        <f t="shared" si="8"/>
        <v>0</v>
      </c>
      <c r="U22" s="103"/>
      <c r="V22" s="1345"/>
      <c r="W22" s="1346"/>
      <c r="X22" s="1345"/>
      <c r="Y22" s="101"/>
      <c r="Z22" s="1346"/>
      <c r="AA22" s="1345"/>
      <c r="AB22" s="1346"/>
      <c r="AC22" s="103">
        <f>'Федеральные  средства  по  МО'!F23</f>
        <v>0</v>
      </c>
      <c r="AD22" s="1348">
        <f>'Проверочная  таблица'!CS24</f>
        <v>0</v>
      </c>
      <c r="AE22" s="1345">
        <f>'Проверочная  таблица'!CW24</f>
        <v>0</v>
      </c>
      <c r="AF22" s="1347">
        <f>'Проверочная  таблица'!CY24</f>
        <v>0</v>
      </c>
      <c r="AG22" s="104">
        <f>'Федеральные  средства  по  МО'!G23</f>
        <v>0</v>
      </c>
      <c r="AH22" s="1348">
        <f>'Проверочная  таблица'!CT24</f>
        <v>0</v>
      </c>
      <c r="AI22" s="1345">
        <f>'Проверочная  таблица'!CX24</f>
        <v>0</v>
      </c>
      <c r="AJ22" s="1347">
        <f>'Проверочная  таблица'!CZ24</f>
        <v>0</v>
      </c>
      <c r="AK22" s="104">
        <f>'Федеральные  средства  по  МО'!H23</f>
        <v>0</v>
      </c>
      <c r="AL22" s="1345">
        <f t="shared" si="29"/>
        <v>0</v>
      </c>
      <c r="AM22" s="1342"/>
      <c r="AN22" s="1351"/>
      <c r="AO22" s="101">
        <f>'Федеральные  средства  по  МО'!I23</f>
        <v>0</v>
      </c>
      <c r="AP22" s="1345">
        <f t="shared" si="30"/>
        <v>0</v>
      </c>
      <c r="AQ22" s="1341"/>
      <c r="AR22" s="1342"/>
      <c r="AS22" s="101">
        <f>'Федеральные  средства  по  МО'!J23</f>
        <v>0</v>
      </c>
      <c r="AT22" s="1350">
        <f t="shared" si="9"/>
        <v>0</v>
      </c>
      <c r="AU22" s="1341"/>
      <c r="AV22" s="1342"/>
      <c r="AW22" s="101">
        <f>'Федеральные  средства  по  МО'!K23</f>
        <v>0</v>
      </c>
      <c r="AX22" s="1350">
        <f t="shared" si="10"/>
        <v>0</v>
      </c>
      <c r="AY22" s="1342"/>
      <c r="AZ22" s="1351"/>
      <c r="BA22" s="101">
        <f>'Федеральные  средства  по  МО'!L23</f>
        <v>0</v>
      </c>
      <c r="BB22" s="1350">
        <f t="shared" si="11"/>
        <v>0</v>
      </c>
      <c r="BC22" s="1342"/>
      <c r="BD22" s="1351"/>
      <c r="BE22" s="101">
        <f>'Федеральные  средства  по  МО'!M23</f>
        <v>0</v>
      </c>
      <c r="BF22" s="1350">
        <f t="shared" si="12"/>
        <v>0</v>
      </c>
      <c r="BG22" s="1341"/>
      <c r="BH22" s="1342"/>
      <c r="BI22" s="101">
        <f>'Федеральные  средства  по  МО'!N23</f>
        <v>0</v>
      </c>
      <c r="BJ22" s="1350">
        <f t="shared" si="13"/>
        <v>0</v>
      </c>
      <c r="BK22" s="1341"/>
      <c r="BL22" s="1342"/>
      <c r="BM22" s="101">
        <f>'Федеральные  средства  по  МО'!O23</f>
        <v>0</v>
      </c>
      <c r="BN22" s="1350">
        <f t="shared" si="14"/>
        <v>0</v>
      </c>
      <c r="BO22" s="1341"/>
      <c r="BP22" s="1342"/>
      <c r="BQ22" s="101">
        <f>'Федеральные  средства  по  МО'!P23</f>
        <v>0</v>
      </c>
      <c r="BR22" s="1350">
        <f t="shared" si="15"/>
        <v>0</v>
      </c>
      <c r="BS22" s="1341"/>
      <c r="BT22" s="1342"/>
      <c r="BU22" s="101">
        <f>'Федеральные  средства  по  МО'!Q23</f>
        <v>0</v>
      </c>
      <c r="BV22" s="1350">
        <f t="shared" si="16"/>
        <v>0</v>
      </c>
      <c r="BW22" s="1341"/>
      <c r="BX22" s="1342"/>
      <c r="BY22" s="101">
        <f>'Федеральные  средства  по  МО'!R23</f>
        <v>0</v>
      </c>
      <c r="BZ22" s="1350">
        <f t="shared" si="17"/>
        <v>0</v>
      </c>
      <c r="CA22" s="1342"/>
      <c r="CB22" s="1351"/>
      <c r="CC22" s="101">
        <f>'Федеральные  средства  по  МО'!S23</f>
        <v>0</v>
      </c>
      <c r="CD22" s="1350">
        <f t="shared" si="18"/>
        <v>0</v>
      </c>
      <c r="CE22" s="1341"/>
      <c r="CF22" s="1342"/>
      <c r="CG22" s="103">
        <f>'Федеральные  средства  по  МО'!T23</f>
        <v>0</v>
      </c>
      <c r="CH22" s="1345">
        <f t="shared" si="31"/>
        <v>0</v>
      </c>
      <c r="CI22" s="1346"/>
      <c r="CJ22" s="1345"/>
      <c r="CK22" s="104">
        <f>'Федеральные  средства  по  МО'!U23</f>
        <v>0</v>
      </c>
      <c r="CL22" s="1345">
        <f t="shared" si="32"/>
        <v>0</v>
      </c>
      <c r="CM22" s="1346"/>
      <c r="CN22" s="1345"/>
      <c r="CO22" s="100">
        <f>'Федеральные  средства  по  МО'!V23</f>
        <v>0</v>
      </c>
      <c r="CP22" s="1350"/>
      <c r="CQ22" s="1342"/>
      <c r="CR22" s="1351"/>
      <c r="CS22" s="101">
        <f>'Федеральные  средства  по  МО'!W23</f>
        <v>0</v>
      </c>
      <c r="CT22" s="1342"/>
      <c r="CU22" s="1341"/>
      <c r="CV22" s="1342"/>
      <c r="CW22" s="101">
        <f>'Федеральные  средства  по  МО'!X23</f>
        <v>0</v>
      </c>
      <c r="CX22" s="1350">
        <f t="shared" si="21"/>
        <v>0</v>
      </c>
      <c r="CY22" s="1342"/>
      <c r="CZ22" s="1351"/>
      <c r="DA22" s="101">
        <f>'Федеральные  средства  по  МО'!Y23</f>
        <v>0</v>
      </c>
      <c r="DB22" s="1350">
        <f t="shared" si="33"/>
        <v>0</v>
      </c>
      <c r="DC22" s="1341"/>
      <c r="DD22" s="1342"/>
      <c r="DE22" s="103">
        <f>'Федеральные  средства  по  МО'!Z23</f>
        <v>0</v>
      </c>
      <c r="DF22" s="1345">
        <f t="shared" si="34"/>
        <v>0</v>
      </c>
      <c r="DG22" s="1350"/>
      <c r="DH22" s="1342"/>
      <c r="DI22" s="101">
        <f>'Федеральные  средства  по  МО'!AA23</f>
        <v>0</v>
      </c>
      <c r="DJ22" s="1345">
        <f t="shared" si="35"/>
        <v>0</v>
      </c>
      <c r="DK22" s="1341"/>
      <c r="DL22" s="1342"/>
      <c r="DM22" s="101">
        <f>'Федеральные  средства  по  МО'!AB23</f>
        <v>0</v>
      </c>
      <c r="DN22" s="1350"/>
      <c r="DO22" s="1342"/>
      <c r="DP22" s="1348">
        <f t="shared" si="36"/>
        <v>0</v>
      </c>
      <c r="DQ22" s="101">
        <f>'Федеральные  средства  по  МО'!AC23</f>
        <v>0</v>
      </c>
      <c r="DR22" s="1342"/>
      <c r="DS22" s="1341"/>
      <c r="DT22" s="1348">
        <f t="shared" si="37"/>
        <v>0</v>
      </c>
      <c r="DU22" s="101">
        <f>'Федеральные  средства  по  МО'!AD23</f>
        <v>0</v>
      </c>
      <c r="DV22" s="1350">
        <f t="shared" si="22"/>
        <v>0</v>
      </c>
      <c r="DW22" s="1342"/>
      <c r="DX22" s="1351"/>
      <c r="DY22" s="101">
        <f>'Федеральные  средства  по  МО'!AE23</f>
        <v>0</v>
      </c>
      <c r="DZ22" s="1350">
        <f t="shared" si="23"/>
        <v>0</v>
      </c>
      <c r="EA22" s="1341"/>
      <c r="EB22" s="1342"/>
      <c r="EC22" s="103">
        <f>'Федеральные  средства  по  МО'!AH23</f>
        <v>39570.370000000003</v>
      </c>
      <c r="ED22" s="1348"/>
      <c r="EE22" s="1345">
        <f>'Проверочная  таблица'!HA24</f>
        <v>39570.370000000003</v>
      </c>
      <c r="EF22" s="1347"/>
      <c r="EG22" s="104">
        <f>'Федеральные  средства  по  МО'!AI23</f>
        <v>0</v>
      </c>
      <c r="EH22" s="1348"/>
      <c r="EI22" s="1345">
        <f>'Проверочная  таблица'!HD24</f>
        <v>0</v>
      </c>
      <c r="EJ22" s="1347"/>
      <c r="EK22" s="101">
        <f>'Федеральные  средства  по  МО'!AJ23</f>
        <v>0</v>
      </c>
      <c r="EL22" s="1350"/>
      <c r="EM22" s="1342"/>
      <c r="EN22" s="1351"/>
      <c r="EO22" s="101">
        <f>'Федеральные  средства  по  МО'!AK23</f>
        <v>0</v>
      </c>
      <c r="EP22" s="1342"/>
      <c r="EQ22" s="1341"/>
      <c r="ER22" s="1342"/>
      <c r="ES22" s="103">
        <f>'Федеральные  средства  по  МО'!AL23</f>
        <v>1184813.6599999999</v>
      </c>
      <c r="ET22" s="1345">
        <f>'Проверочная  таблица'!HS24</f>
        <v>0</v>
      </c>
      <c r="EU22" s="1346">
        <f>'Проверочная  таблица'!IG24</f>
        <v>1184813.6599999999</v>
      </c>
      <c r="EV22" s="1345">
        <f>'Проверочная  таблица'!IM24</f>
        <v>0</v>
      </c>
      <c r="EW22" s="104">
        <f>'Федеральные  средства  по  МО'!AM23</f>
        <v>958113.47</v>
      </c>
      <c r="EX22" s="1345">
        <f>'Проверочная  таблица'!HV24</f>
        <v>0</v>
      </c>
      <c r="EY22" s="1346">
        <f>'Проверочная  таблица'!IJ24</f>
        <v>958113.47</v>
      </c>
      <c r="EZ22" s="1345">
        <f>'Проверочная  таблица'!IP24</f>
        <v>0</v>
      </c>
      <c r="FA22" s="101">
        <f>'Федеральные  средства  по  МО'!AN23</f>
        <v>0</v>
      </c>
      <c r="FB22" s="1342"/>
      <c r="FC22" s="1348">
        <f>'Проверочная  таблица'!JY24</f>
        <v>0</v>
      </c>
      <c r="FD22" s="1345">
        <f>'Проверочная  таблица'!KI24</f>
        <v>0</v>
      </c>
      <c r="FE22" s="104">
        <f>'Федеральные  средства  по  МО'!AO23</f>
        <v>0</v>
      </c>
      <c r="FF22" s="1348"/>
      <c r="FG22" s="1345">
        <f>'Проверочная  таблица'!KD24</f>
        <v>0</v>
      </c>
      <c r="FH22" s="1347">
        <f>'Проверочная  таблица'!KN24</f>
        <v>0</v>
      </c>
      <c r="FI22" s="104">
        <f>'Федеральные  средства  по  МО'!AP23</f>
        <v>5009875.78</v>
      </c>
      <c r="FJ22" s="1348">
        <f t="shared" si="38"/>
        <v>5009875.78</v>
      </c>
      <c r="FK22" s="1345"/>
      <c r="FL22" s="1347"/>
      <c r="FM22" s="100">
        <f>'Федеральные  средства  по  МО'!AQ23</f>
        <v>5009875.78</v>
      </c>
      <c r="FN22" s="1348">
        <f t="shared" si="24"/>
        <v>5009875.78</v>
      </c>
      <c r="FO22" s="1345"/>
      <c r="FP22" s="1346"/>
      <c r="FQ22" s="103">
        <f>'Федеральные  средства  по  МО'!AT23</f>
        <v>0</v>
      </c>
      <c r="FR22" s="1345">
        <f>'Проверочная  таблица'!IS24</f>
        <v>0</v>
      </c>
      <c r="FS22" s="1346">
        <f>'Проверочная  таблица'!JW24</f>
        <v>0</v>
      </c>
      <c r="FT22" s="1345">
        <f>'Проверочная  таблица'!KG24</f>
        <v>0</v>
      </c>
      <c r="FU22" s="104">
        <f>'Федеральные  средства  по  МО'!AU23</f>
        <v>0</v>
      </c>
      <c r="FV22" s="1345">
        <f>'Проверочная  таблица'!JC24</f>
        <v>0</v>
      </c>
      <c r="FW22" s="1346">
        <f>'Проверочная  таблица'!KB24</f>
        <v>0</v>
      </c>
      <c r="FX22" s="1345">
        <f>'Проверочная  таблица'!KL24</f>
        <v>0</v>
      </c>
      <c r="FY22" s="104">
        <f>'Федеральные  средства  по  МО'!AR23</f>
        <v>23938813.579999998</v>
      </c>
      <c r="FZ22" s="1345">
        <f t="shared" si="39"/>
        <v>23938813.579999998</v>
      </c>
      <c r="GA22" s="1346"/>
      <c r="GB22" s="1348"/>
      <c r="GC22" s="101">
        <f>'Федеральные  средства  по  МО'!AS23</f>
        <v>14654315.470000001</v>
      </c>
      <c r="GD22" s="1345">
        <f t="shared" si="40"/>
        <v>14654315.470000001</v>
      </c>
      <c r="GE22" s="1347"/>
      <c r="GF22" s="1342"/>
      <c r="GG22" s="100">
        <f>'Федеральные  средства  по  МО'!AV23</f>
        <v>0</v>
      </c>
      <c r="GH22" s="1350">
        <f t="shared" si="41"/>
        <v>0</v>
      </c>
      <c r="GI22" s="1342"/>
      <c r="GJ22" s="1351"/>
      <c r="GK22" s="101">
        <f>'Федеральные  средства  по  МО'!AW23</f>
        <v>0</v>
      </c>
      <c r="GL22" s="1350">
        <f t="shared" si="25"/>
        <v>0</v>
      </c>
      <c r="GM22" s="1342"/>
      <c r="GN22" s="1341"/>
      <c r="GO22" s="1340"/>
      <c r="GP22" s="1341"/>
      <c r="GQ22" s="1342"/>
      <c r="GR22" s="1341"/>
      <c r="GS22" s="1343"/>
      <c r="GT22" s="1342"/>
      <c r="GU22" s="1341"/>
      <c r="GV22" s="1342"/>
      <c r="GW22" s="103">
        <f>'Федеральные  средства  по  МО'!AX23</f>
        <v>0</v>
      </c>
      <c r="GX22" s="1348"/>
      <c r="GY22" s="1345"/>
      <c r="GZ22" s="1347">
        <f>'Проверочная  таблица'!MA24</f>
        <v>0</v>
      </c>
      <c r="HA22" s="104">
        <f>'Федеральные  средства  по  МО'!AY23</f>
        <v>0</v>
      </c>
      <c r="HB22" s="1348"/>
      <c r="HC22" s="1345"/>
      <c r="HD22" s="1347">
        <f>'Проверочная  таблица'!ME24</f>
        <v>0</v>
      </c>
      <c r="HE22" s="104">
        <f>'Федеральные  средства  по  МО'!BD23</f>
        <v>0</v>
      </c>
      <c r="HF22" s="1348"/>
      <c r="HG22" s="1345">
        <f t="shared" si="42"/>
        <v>0</v>
      </c>
      <c r="HH22" s="1347"/>
      <c r="HI22" s="100">
        <f>'Федеральные  средства  по  МО'!BE23</f>
        <v>0</v>
      </c>
      <c r="HJ22" s="1348"/>
      <c r="HK22" s="1345">
        <f t="shared" si="43"/>
        <v>0</v>
      </c>
      <c r="HL22" s="1347"/>
      <c r="HM22" s="103">
        <f>'Федеральные  средства  по  МО'!AZ23</f>
        <v>1407463.79</v>
      </c>
      <c r="HN22" s="1348"/>
      <c r="HO22" s="1345">
        <f t="shared" si="44"/>
        <v>1407463.79</v>
      </c>
      <c r="HP22" s="1347"/>
      <c r="HQ22" s="100">
        <f>'Федеральные  средства  по  МО'!BA23</f>
        <v>0</v>
      </c>
      <c r="HR22" s="1348"/>
      <c r="HS22" s="1345">
        <f t="shared" si="45"/>
        <v>0</v>
      </c>
      <c r="HT22" s="1346"/>
      <c r="HU22" s="103">
        <f>'Федеральные  средства  по  МО'!AF23</f>
        <v>0</v>
      </c>
      <c r="HV22" s="1345"/>
      <c r="HW22" s="1346">
        <f t="shared" si="46"/>
        <v>0</v>
      </c>
      <c r="HX22" s="1345"/>
      <c r="HY22" s="104">
        <f>'Федеральные  средства  по  МО'!AG23</f>
        <v>0</v>
      </c>
      <c r="HZ22" s="1345"/>
      <c r="IA22" s="1346">
        <f t="shared" si="47"/>
        <v>0</v>
      </c>
      <c r="IB22" s="1345"/>
      <c r="IC22" s="104">
        <f>'Федеральные  средства  по  МО'!BH23</f>
        <v>0</v>
      </c>
      <c r="ID22" s="1345">
        <f>'Проверочная  таблица'!NU24</f>
        <v>0</v>
      </c>
      <c r="IE22" s="1346"/>
      <c r="IF22" s="1345"/>
      <c r="IG22" s="104">
        <f>'Федеральные  средства  по  МО'!BI23</f>
        <v>0</v>
      </c>
      <c r="IH22" s="1345">
        <f>'Проверочная  таблица'!OB24</f>
        <v>0</v>
      </c>
      <c r="II22" s="1346"/>
      <c r="IJ22" s="1345"/>
      <c r="IK22" s="104">
        <f>'Федеральные  средства  по  МО'!BJ23</f>
        <v>0</v>
      </c>
      <c r="IL22" s="1348">
        <f>'Проверочная  таблица'!NW24</f>
        <v>0</v>
      </c>
      <c r="IM22" s="1345">
        <f>'Проверочная  таблица'!OY24</f>
        <v>0</v>
      </c>
      <c r="IN22" s="1347"/>
      <c r="IO22" s="104">
        <f>'Федеральные  средства  по  МО'!BK23</f>
        <v>0</v>
      </c>
      <c r="IP22" s="1348">
        <f>'Проверочная  таблица'!OD24</f>
        <v>0</v>
      </c>
      <c r="IQ22" s="1345">
        <f>'Проверочная  таблица'!OR24</f>
        <v>0</v>
      </c>
      <c r="IR22" s="1347"/>
      <c r="IS22" s="100">
        <f>'Федеральные  средства  по  МО'!BB23</f>
        <v>0</v>
      </c>
      <c r="IT22" s="1350"/>
      <c r="IU22" s="1342"/>
      <c r="IV22" s="1351"/>
      <c r="IW22" s="101">
        <f>'Федеральные  средства  по  МО'!BC23</f>
        <v>0</v>
      </c>
      <c r="IX22" s="1342"/>
      <c r="IY22" s="1341"/>
      <c r="IZ22" s="1342"/>
      <c r="JA22" s="101">
        <f>'Федеральные  средства  по  МО'!BF23</f>
        <v>0</v>
      </c>
      <c r="JB22" s="1350"/>
      <c r="JC22" s="1342"/>
      <c r="JD22" s="1351"/>
      <c r="JE22" s="101">
        <f>'Федеральные  средства  по  МО'!BG23</f>
        <v>0</v>
      </c>
      <c r="JF22" s="1342"/>
      <c r="JG22" s="1341"/>
      <c r="JH22" s="1342"/>
      <c r="JI22" s="103">
        <f>'Федеральные  средства  по  МО'!BL23</f>
        <v>0</v>
      </c>
      <c r="JJ22" s="1345">
        <f>'Проверочная  таблица'!PW24</f>
        <v>0</v>
      </c>
      <c r="JK22" s="1346">
        <f>'Проверочная  таблица'!QI24</f>
        <v>0</v>
      </c>
      <c r="JL22" s="1345"/>
      <c r="JM22" s="104">
        <f>'Федеральные  средства  по  МО'!BM23</f>
        <v>0</v>
      </c>
      <c r="JN22" s="1345">
        <f>'Проверочная  таблица'!PZ24</f>
        <v>0</v>
      </c>
      <c r="JO22" s="1346">
        <f>'Проверочная  таблица'!QL24</f>
        <v>0</v>
      </c>
      <c r="JP22" s="1345"/>
    </row>
    <row r="23" spans="1:276" ht="25.5" customHeight="1" x14ac:dyDescent="0.25">
      <c r="A23" s="102" t="s">
        <v>92</v>
      </c>
      <c r="B23" s="278">
        <f t="shared" si="26"/>
        <v>2342670.5699999998</v>
      </c>
      <c r="C23" s="1329">
        <f t="shared" si="0"/>
        <v>256036.58</v>
      </c>
      <c r="D23" s="1329">
        <f t="shared" si="0"/>
        <v>2086633.99</v>
      </c>
      <c r="E23" s="1329">
        <f t="shared" si="0"/>
        <v>0</v>
      </c>
      <c r="F23" s="278">
        <f t="shared" si="27"/>
        <v>565373.9</v>
      </c>
      <c r="G23" s="1329">
        <f t="shared" si="28"/>
        <v>256036.58</v>
      </c>
      <c r="H23" s="1329">
        <f t="shared" si="28"/>
        <v>309337.32000000007</v>
      </c>
      <c r="I23" s="1329">
        <f t="shared" si="28"/>
        <v>0</v>
      </c>
      <c r="J23" s="105"/>
      <c r="K23" s="1330">
        <f>M23-'Федеральные  средства  по  МО'!D24</f>
        <v>0</v>
      </c>
      <c r="L23" s="1330">
        <f>Q23-'Федеральные  средства  по  МО'!E24</f>
        <v>0</v>
      </c>
      <c r="M23" s="278">
        <f t="shared" si="1"/>
        <v>2342670.5699999998</v>
      </c>
      <c r="N23" s="1329">
        <f t="shared" si="2"/>
        <v>256036.58</v>
      </c>
      <c r="O23" s="1329">
        <f t="shared" si="3"/>
        <v>2086633.99</v>
      </c>
      <c r="P23" s="1329">
        <f t="shared" si="4"/>
        <v>0</v>
      </c>
      <c r="Q23" s="278">
        <f t="shared" si="5"/>
        <v>565373.9</v>
      </c>
      <c r="R23" s="1329">
        <f t="shared" si="6"/>
        <v>256036.58</v>
      </c>
      <c r="S23" s="1329">
        <f t="shared" si="7"/>
        <v>309337.32000000007</v>
      </c>
      <c r="T23" s="1329">
        <f t="shared" si="8"/>
        <v>0</v>
      </c>
      <c r="U23" s="103"/>
      <c r="V23" s="1345"/>
      <c r="W23" s="1346"/>
      <c r="X23" s="1345"/>
      <c r="Y23" s="101"/>
      <c r="Z23" s="1346"/>
      <c r="AA23" s="1345"/>
      <c r="AB23" s="1346"/>
      <c r="AC23" s="103">
        <f>'Федеральные  средства  по  МО'!F24</f>
        <v>0</v>
      </c>
      <c r="AD23" s="1348">
        <f>'Проверочная  таблица'!CS25</f>
        <v>0</v>
      </c>
      <c r="AE23" s="1345">
        <f>'Проверочная  таблица'!CW25</f>
        <v>0</v>
      </c>
      <c r="AF23" s="1347">
        <f>'Проверочная  таблица'!CY25</f>
        <v>0</v>
      </c>
      <c r="AG23" s="104">
        <f>'Федеральные  средства  по  МО'!G24</f>
        <v>0</v>
      </c>
      <c r="AH23" s="1348">
        <f>'Проверочная  таблица'!CT25</f>
        <v>0</v>
      </c>
      <c r="AI23" s="1345">
        <f>'Проверочная  таблица'!CX25</f>
        <v>0</v>
      </c>
      <c r="AJ23" s="1347">
        <f>'Проверочная  таблица'!CZ25</f>
        <v>0</v>
      </c>
      <c r="AK23" s="104">
        <f>'Федеральные  средства  по  МО'!H24</f>
        <v>0</v>
      </c>
      <c r="AL23" s="1345">
        <f t="shared" si="29"/>
        <v>0</v>
      </c>
      <c r="AM23" s="1346"/>
      <c r="AN23" s="1348"/>
      <c r="AO23" s="101">
        <f>'Федеральные  средства  по  МО'!I24</f>
        <v>0</v>
      </c>
      <c r="AP23" s="1345">
        <f t="shared" si="30"/>
        <v>0</v>
      </c>
      <c r="AQ23" s="1345"/>
      <c r="AR23" s="1346"/>
      <c r="AS23" s="101">
        <f>'Федеральные  средства  по  МО'!J24</f>
        <v>0</v>
      </c>
      <c r="AT23" s="1347">
        <f t="shared" si="9"/>
        <v>0</v>
      </c>
      <c r="AU23" s="1345"/>
      <c r="AV23" s="1346"/>
      <c r="AW23" s="101">
        <f>'Федеральные  средства  по  МО'!K24</f>
        <v>0</v>
      </c>
      <c r="AX23" s="1347">
        <f t="shared" si="10"/>
        <v>0</v>
      </c>
      <c r="AY23" s="1346"/>
      <c r="AZ23" s="1348"/>
      <c r="BA23" s="101">
        <f>'Федеральные  средства  по  МО'!L24</f>
        <v>0</v>
      </c>
      <c r="BB23" s="1347">
        <f t="shared" si="11"/>
        <v>0</v>
      </c>
      <c r="BC23" s="1346"/>
      <c r="BD23" s="1348"/>
      <c r="BE23" s="101">
        <f>'Федеральные  средства  по  МО'!M24</f>
        <v>0</v>
      </c>
      <c r="BF23" s="1347">
        <f t="shared" si="12"/>
        <v>0</v>
      </c>
      <c r="BG23" s="1345"/>
      <c r="BH23" s="1346"/>
      <c r="BI23" s="101">
        <f>'Федеральные  средства  по  МО'!N24</f>
        <v>0</v>
      </c>
      <c r="BJ23" s="1347">
        <f t="shared" si="13"/>
        <v>0</v>
      </c>
      <c r="BK23" s="1345"/>
      <c r="BL23" s="1346"/>
      <c r="BM23" s="101">
        <f>'Федеральные  средства  по  МО'!O24</f>
        <v>0</v>
      </c>
      <c r="BN23" s="1347">
        <f t="shared" si="14"/>
        <v>0</v>
      </c>
      <c r="BO23" s="1345"/>
      <c r="BP23" s="1346"/>
      <c r="BQ23" s="101">
        <f>'Федеральные  средства  по  МО'!P24</f>
        <v>0</v>
      </c>
      <c r="BR23" s="1347">
        <f t="shared" si="15"/>
        <v>0</v>
      </c>
      <c r="BS23" s="1345"/>
      <c r="BT23" s="1346"/>
      <c r="BU23" s="101">
        <f>'Федеральные  средства  по  МО'!Q24</f>
        <v>0</v>
      </c>
      <c r="BV23" s="1347">
        <f t="shared" si="16"/>
        <v>0</v>
      </c>
      <c r="BW23" s="1345"/>
      <c r="BX23" s="1346"/>
      <c r="BY23" s="101">
        <f>'Федеральные  средства  по  МО'!R24</f>
        <v>0</v>
      </c>
      <c r="BZ23" s="1347">
        <f t="shared" si="17"/>
        <v>0</v>
      </c>
      <c r="CA23" s="1346"/>
      <c r="CB23" s="1348"/>
      <c r="CC23" s="101">
        <f>'Федеральные  средства  по  МО'!S24</f>
        <v>0</v>
      </c>
      <c r="CD23" s="1347">
        <f t="shared" si="18"/>
        <v>0</v>
      </c>
      <c r="CE23" s="1345"/>
      <c r="CF23" s="1346"/>
      <c r="CG23" s="103">
        <f>'Федеральные  средства  по  МО'!T24</f>
        <v>0</v>
      </c>
      <c r="CH23" s="1345">
        <f t="shared" si="31"/>
        <v>0</v>
      </c>
      <c r="CI23" s="1346"/>
      <c r="CJ23" s="1345"/>
      <c r="CK23" s="104">
        <f>'Федеральные  средства  по  МО'!U24</f>
        <v>0</v>
      </c>
      <c r="CL23" s="1345">
        <f t="shared" si="32"/>
        <v>0</v>
      </c>
      <c r="CM23" s="1346"/>
      <c r="CN23" s="1345"/>
      <c r="CO23" s="100">
        <f>'Федеральные  средства  по  МО'!V24</f>
        <v>0</v>
      </c>
      <c r="CP23" s="1347"/>
      <c r="CQ23" s="1346"/>
      <c r="CR23" s="1348"/>
      <c r="CS23" s="101">
        <f>'Федеральные  средства  по  МО'!W24</f>
        <v>0</v>
      </c>
      <c r="CT23" s="1346"/>
      <c r="CU23" s="1345"/>
      <c r="CV23" s="1346"/>
      <c r="CW23" s="101">
        <f>'Федеральные  средства  по  МО'!X24</f>
        <v>0</v>
      </c>
      <c r="CX23" s="1347">
        <f t="shared" si="21"/>
        <v>0</v>
      </c>
      <c r="CY23" s="1346"/>
      <c r="CZ23" s="1348"/>
      <c r="DA23" s="101">
        <f>'Федеральные  средства  по  МО'!Y24</f>
        <v>0</v>
      </c>
      <c r="DB23" s="1347">
        <f t="shared" si="33"/>
        <v>0</v>
      </c>
      <c r="DC23" s="1345"/>
      <c r="DD23" s="1346"/>
      <c r="DE23" s="103">
        <f>'Федеральные  средства  по  МО'!Z24</f>
        <v>0</v>
      </c>
      <c r="DF23" s="1345">
        <f t="shared" si="34"/>
        <v>0</v>
      </c>
      <c r="DG23" s="1347"/>
      <c r="DH23" s="1346"/>
      <c r="DI23" s="101">
        <f>'Федеральные  средства  по  МО'!AA24</f>
        <v>0</v>
      </c>
      <c r="DJ23" s="1345">
        <f t="shared" si="35"/>
        <v>0</v>
      </c>
      <c r="DK23" s="1345"/>
      <c r="DL23" s="1346"/>
      <c r="DM23" s="101">
        <f>'Федеральные  средства  по  МО'!AB24</f>
        <v>0</v>
      </c>
      <c r="DN23" s="1347"/>
      <c r="DO23" s="1346"/>
      <c r="DP23" s="1348">
        <f t="shared" si="36"/>
        <v>0</v>
      </c>
      <c r="DQ23" s="101">
        <f>'Федеральные  средства  по  МО'!AC24</f>
        <v>0</v>
      </c>
      <c r="DR23" s="1346"/>
      <c r="DS23" s="1345"/>
      <c r="DT23" s="1348">
        <f t="shared" si="37"/>
        <v>0</v>
      </c>
      <c r="DU23" s="101">
        <f>'Федеральные  средства  по  МО'!AD24</f>
        <v>0</v>
      </c>
      <c r="DV23" s="1347">
        <f t="shared" si="22"/>
        <v>0</v>
      </c>
      <c r="DW23" s="1346"/>
      <c r="DX23" s="1348"/>
      <c r="DY23" s="101">
        <f>'Федеральные  средства  по  МО'!AE24</f>
        <v>0</v>
      </c>
      <c r="DZ23" s="1347">
        <f t="shared" si="23"/>
        <v>0</v>
      </c>
      <c r="EA23" s="1345"/>
      <c r="EB23" s="1346"/>
      <c r="EC23" s="103">
        <f>'Федеральные  средства  по  МО'!AH24</f>
        <v>0</v>
      </c>
      <c r="ED23" s="1348"/>
      <c r="EE23" s="1345">
        <f>'Проверочная  таблица'!HA25</f>
        <v>0</v>
      </c>
      <c r="EF23" s="1347"/>
      <c r="EG23" s="104">
        <f>'Федеральные  средства  по  МО'!AI24</f>
        <v>0</v>
      </c>
      <c r="EH23" s="1348"/>
      <c r="EI23" s="1345">
        <f>'Проверочная  таблица'!HD25</f>
        <v>0</v>
      </c>
      <c r="EJ23" s="1347"/>
      <c r="EK23" s="101">
        <f>'Федеральные  средства  по  МО'!AJ24</f>
        <v>0</v>
      </c>
      <c r="EL23" s="1347"/>
      <c r="EM23" s="1346"/>
      <c r="EN23" s="1348"/>
      <c r="EO23" s="101">
        <f>'Федеральные  средства  по  МО'!AK24</f>
        <v>0</v>
      </c>
      <c r="EP23" s="1346"/>
      <c r="EQ23" s="1345"/>
      <c r="ER23" s="1346"/>
      <c r="ES23" s="103">
        <f>'Федеральные  средства  по  МО'!AL24</f>
        <v>899880.57</v>
      </c>
      <c r="ET23" s="1345">
        <f>'Проверочная  таблица'!HS25</f>
        <v>256036.58</v>
      </c>
      <c r="EU23" s="1346">
        <f>'Проверочная  таблица'!IG25</f>
        <v>643843.99</v>
      </c>
      <c r="EV23" s="1345">
        <f>'Проверочная  таблица'!IM25</f>
        <v>0</v>
      </c>
      <c r="EW23" s="104">
        <f>'Федеральные  средства  по  МО'!AM24</f>
        <v>565373.9</v>
      </c>
      <c r="EX23" s="1345">
        <f>'Проверочная  таблица'!HV25</f>
        <v>256036.58</v>
      </c>
      <c r="EY23" s="1346">
        <f>'Проверочная  таблица'!IJ25</f>
        <v>309337.32000000007</v>
      </c>
      <c r="EZ23" s="1345">
        <f>'Проверочная  таблица'!IP25</f>
        <v>0</v>
      </c>
      <c r="FA23" s="101">
        <f>'Федеральные  средства  по  МО'!AN24</f>
        <v>0</v>
      </c>
      <c r="FB23" s="1346"/>
      <c r="FC23" s="1348">
        <f>'Проверочная  таблица'!JY25</f>
        <v>0</v>
      </c>
      <c r="FD23" s="1345">
        <f>'Проверочная  таблица'!KI25</f>
        <v>0</v>
      </c>
      <c r="FE23" s="104">
        <f>'Федеральные  средства  по  МО'!AO24</f>
        <v>0</v>
      </c>
      <c r="FF23" s="1348"/>
      <c r="FG23" s="1345">
        <f>'Проверочная  таблица'!KD25</f>
        <v>0</v>
      </c>
      <c r="FH23" s="1347">
        <f>'Проверочная  таблица'!KN25</f>
        <v>0</v>
      </c>
      <c r="FI23" s="104">
        <f>'Федеральные  средства  по  МО'!AP24</f>
        <v>0</v>
      </c>
      <c r="FJ23" s="1348">
        <f t="shared" si="38"/>
        <v>0</v>
      </c>
      <c r="FK23" s="1345"/>
      <c r="FL23" s="1347"/>
      <c r="FM23" s="100">
        <f>'Федеральные  средства  по  МО'!AQ24</f>
        <v>0</v>
      </c>
      <c r="FN23" s="1348">
        <f t="shared" si="24"/>
        <v>0</v>
      </c>
      <c r="FO23" s="1345"/>
      <c r="FP23" s="1346"/>
      <c r="FQ23" s="103">
        <f>'Федеральные  средства  по  МО'!AT24</f>
        <v>0</v>
      </c>
      <c r="FR23" s="1345">
        <f>'Проверочная  таблица'!IS25</f>
        <v>0</v>
      </c>
      <c r="FS23" s="1346">
        <f>'Проверочная  таблица'!JW25</f>
        <v>0</v>
      </c>
      <c r="FT23" s="1345">
        <f>'Проверочная  таблица'!KG25</f>
        <v>0</v>
      </c>
      <c r="FU23" s="104">
        <f>'Федеральные  средства  по  МО'!AU24</f>
        <v>0</v>
      </c>
      <c r="FV23" s="1345">
        <f>'Проверочная  таблица'!JC25</f>
        <v>0</v>
      </c>
      <c r="FW23" s="1346">
        <f>'Проверочная  таблица'!KB25</f>
        <v>0</v>
      </c>
      <c r="FX23" s="1345">
        <f>'Проверочная  таблица'!KL25</f>
        <v>0</v>
      </c>
      <c r="FY23" s="104">
        <f>'Федеральные  средства  по  МО'!AR24</f>
        <v>0</v>
      </c>
      <c r="FZ23" s="1345">
        <f t="shared" si="39"/>
        <v>0</v>
      </c>
      <c r="GA23" s="1346"/>
      <c r="GB23" s="1348"/>
      <c r="GC23" s="101">
        <f>'Федеральные  средства  по  МО'!AS24</f>
        <v>0</v>
      </c>
      <c r="GD23" s="1345">
        <f t="shared" si="40"/>
        <v>0</v>
      </c>
      <c r="GE23" s="1347"/>
      <c r="GF23" s="1346"/>
      <c r="GG23" s="100">
        <f>'Федеральные  средства  по  МО'!AV24</f>
        <v>0</v>
      </c>
      <c r="GH23" s="1347">
        <f t="shared" si="41"/>
        <v>0</v>
      </c>
      <c r="GI23" s="1346"/>
      <c r="GJ23" s="1348"/>
      <c r="GK23" s="101">
        <f>'Федеральные  средства  по  МО'!AW24</f>
        <v>0</v>
      </c>
      <c r="GL23" s="1347">
        <f t="shared" si="25"/>
        <v>0</v>
      </c>
      <c r="GM23" s="1346"/>
      <c r="GN23" s="1345"/>
      <c r="GO23" s="104"/>
      <c r="GP23" s="1345"/>
      <c r="GQ23" s="1346"/>
      <c r="GR23" s="1345"/>
      <c r="GS23" s="100"/>
      <c r="GT23" s="1346"/>
      <c r="GU23" s="1345"/>
      <c r="GV23" s="1346"/>
      <c r="GW23" s="103">
        <f>'Федеральные  средства  по  МО'!AX24</f>
        <v>0</v>
      </c>
      <c r="GX23" s="1348"/>
      <c r="GY23" s="1345"/>
      <c r="GZ23" s="1347">
        <f>'Проверочная  таблица'!MA25</f>
        <v>0</v>
      </c>
      <c r="HA23" s="104">
        <f>'Федеральные  средства  по  МО'!AY24</f>
        <v>0</v>
      </c>
      <c r="HB23" s="1348"/>
      <c r="HC23" s="1345"/>
      <c r="HD23" s="1347">
        <f>'Проверочная  таблица'!ME25</f>
        <v>0</v>
      </c>
      <c r="HE23" s="104">
        <f>'Федеральные  средства  по  МО'!BD24</f>
        <v>0</v>
      </c>
      <c r="HF23" s="1348"/>
      <c r="HG23" s="1345">
        <f t="shared" si="42"/>
        <v>0</v>
      </c>
      <c r="HH23" s="1347"/>
      <c r="HI23" s="100">
        <f>'Федеральные  средства  по  МО'!BE24</f>
        <v>0</v>
      </c>
      <c r="HJ23" s="1348"/>
      <c r="HK23" s="1345">
        <f t="shared" si="43"/>
        <v>0</v>
      </c>
      <c r="HL23" s="1347"/>
      <c r="HM23" s="103">
        <f>'Федеральные  средства  по  МО'!AZ24</f>
        <v>1442790</v>
      </c>
      <c r="HN23" s="1348"/>
      <c r="HO23" s="1345">
        <f t="shared" si="44"/>
        <v>1442790</v>
      </c>
      <c r="HP23" s="1347"/>
      <c r="HQ23" s="100">
        <f>'Федеральные  средства  по  МО'!BA24</f>
        <v>0</v>
      </c>
      <c r="HR23" s="1348"/>
      <c r="HS23" s="1345">
        <f t="shared" si="45"/>
        <v>0</v>
      </c>
      <c r="HT23" s="1346"/>
      <c r="HU23" s="103">
        <f>'Федеральные  средства  по  МО'!AF24</f>
        <v>0</v>
      </c>
      <c r="HV23" s="1345"/>
      <c r="HW23" s="1346">
        <f t="shared" si="46"/>
        <v>0</v>
      </c>
      <c r="HX23" s="1345"/>
      <c r="HY23" s="104">
        <f>'Федеральные  средства  по  МО'!AG24</f>
        <v>0</v>
      </c>
      <c r="HZ23" s="1345"/>
      <c r="IA23" s="1346">
        <f t="shared" si="47"/>
        <v>0</v>
      </c>
      <c r="IB23" s="1345"/>
      <c r="IC23" s="104">
        <f>'Федеральные  средства  по  МО'!BH24</f>
        <v>0</v>
      </c>
      <c r="ID23" s="1345">
        <f>'Проверочная  таблица'!NU25</f>
        <v>0</v>
      </c>
      <c r="IE23" s="1346"/>
      <c r="IF23" s="1345"/>
      <c r="IG23" s="104">
        <f>'Федеральные  средства  по  МО'!BI24</f>
        <v>0</v>
      </c>
      <c r="IH23" s="1345">
        <f>'Проверочная  таблица'!OB25</f>
        <v>0</v>
      </c>
      <c r="II23" s="1346"/>
      <c r="IJ23" s="1345"/>
      <c r="IK23" s="104">
        <f>'Федеральные  средства  по  МО'!BJ24</f>
        <v>0</v>
      </c>
      <c r="IL23" s="1348">
        <f>'Проверочная  таблица'!NW25</f>
        <v>0</v>
      </c>
      <c r="IM23" s="1345">
        <f>'Проверочная  таблица'!OY25</f>
        <v>0</v>
      </c>
      <c r="IN23" s="1347"/>
      <c r="IO23" s="104">
        <f>'Федеральные  средства  по  МО'!BK24</f>
        <v>0</v>
      </c>
      <c r="IP23" s="1348">
        <f>'Проверочная  таблица'!OD25</f>
        <v>0</v>
      </c>
      <c r="IQ23" s="1345">
        <f>'Проверочная  таблица'!OR25</f>
        <v>0</v>
      </c>
      <c r="IR23" s="1347"/>
      <c r="IS23" s="100">
        <f>'Федеральные  средства  по  МО'!BB24</f>
        <v>0</v>
      </c>
      <c r="IT23" s="1347"/>
      <c r="IU23" s="1346"/>
      <c r="IV23" s="1348"/>
      <c r="IW23" s="101">
        <f>'Федеральные  средства  по  МО'!BC24</f>
        <v>0</v>
      </c>
      <c r="IX23" s="1346"/>
      <c r="IY23" s="1345"/>
      <c r="IZ23" s="1346"/>
      <c r="JA23" s="101">
        <f>'Федеральные  средства  по  МО'!BF24</f>
        <v>0</v>
      </c>
      <c r="JB23" s="1347"/>
      <c r="JC23" s="1346"/>
      <c r="JD23" s="1348"/>
      <c r="JE23" s="101">
        <f>'Федеральные  средства  по  МО'!BG24</f>
        <v>0</v>
      </c>
      <c r="JF23" s="1346"/>
      <c r="JG23" s="1345"/>
      <c r="JH23" s="1346"/>
      <c r="JI23" s="103">
        <f>'Федеральные  средства  по  МО'!BL24</f>
        <v>0</v>
      </c>
      <c r="JJ23" s="1345">
        <f>'Проверочная  таблица'!PW25</f>
        <v>0</v>
      </c>
      <c r="JK23" s="1346">
        <f>'Проверочная  таблица'!QI25</f>
        <v>0</v>
      </c>
      <c r="JL23" s="1345"/>
      <c r="JM23" s="104">
        <f>'Федеральные  средства  по  МО'!BM24</f>
        <v>0</v>
      </c>
      <c r="JN23" s="1345">
        <f>'Проверочная  таблица'!PZ25</f>
        <v>0</v>
      </c>
      <c r="JO23" s="1346">
        <f>'Проверочная  таблица'!QL25</f>
        <v>0</v>
      </c>
      <c r="JP23" s="1345"/>
    </row>
    <row r="24" spans="1:276" ht="25.5" customHeight="1" x14ac:dyDescent="0.25">
      <c r="A24" s="105" t="s">
        <v>93</v>
      </c>
      <c r="B24" s="278">
        <f t="shared" si="26"/>
        <v>5887400.9800000004</v>
      </c>
      <c r="C24" s="1329">
        <f t="shared" si="0"/>
        <v>5249681.6500000004</v>
      </c>
      <c r="D24" s="1329">
        <f t="shared" si="0"/>
        <v>637719.33000000007</v>
      </c>
      <c r="E24" s="1329">
        <f t="shared" si="0"/>
        <v>0</v>
      </c>
      <c r="F24" s="278">
        <f t="shared" si="27"/>
        <v>5887400.9800000004</v>
      </c>
      <c r="G24" s="1329">
        <f t="shared" si="28"/>
        <v>5249681.6500000004</v>
      </c>
      <c r="H24" s="1329">
        <f t="shared" si="28"/>
        <v>637719.32999999996</v>
      </c>
      <c r="I24" s="1329">
        <f t="shared" si="28"/>
        <v>0</v>
      </c>
      <c r="J24" s="105"/>
      <c r="K24" s="1330">
        <f>M24-'Федеральные  средства  по  МО'!D25</f>
        <v>0</v>
      </c>
      <c r="L24" s="1330">
        <f>Q24-'Федеральные  средства  по  МО'!E25</f>
        <v>0</v>
      </c>
      <c r="M24" s="278">
        <f t="shared" si="1"/>
        <v>5887400.9800000004</v>
      </c>
      <c r="N24" s="1329">
        <f t="shared" si="2"/>
        <v>5249681.6500000004</v>
      </c>
      <c r="O24" s="1329">
        <f t="shared" si="3"/>
        <v>637719.33000000007</v>
      </c>
      <c r="P24" s="1329">
        <f t="shared" si="4"/>
        <v>0</v>
      </c>
      <c r="Q24" s="278">
        <f t="shared" si="5"/>
        <v>5887400.9800000004</v>
      </c>
      <c r="R24" s="1329">
        <f t="shared" si="6"/>
        <v>5249681.6500000004</v>
      </c>
      <c r="S24" s="1329">
        <f t="shared" si="7"/>
        <v>637719.32999999996</v>
      </c>
      <c r="T24" s="1329">
        <f t="shared" si="8"/>
        <v>0</v>
      </c>
      <c r="U24" s="103"/>
      <c r="V24" s="1345"/>
      <c r="W24" s="1346"/>
      <c r="X24" s="1345"/>
      <c r="Y24" s="101"/>
      <c r="Z24" s="1346"/>
      <c r="AA24" s="1345"/>
      <c r="AB24" s="1346"/>
      <c r="AC24" s="103">
        <f>'Федеральные  средства  по  МО'!F25</f>
        <v>0</v>
      </c>
      <c r="AD24" s="1348">
        <f>'Проверочная  таблица'!CS26</f>
        <v>0</v>
      </c>
      <c r="AE24" s="1345">
        <f>'Проверочная  таблица'!CW26</f>
        <v>0</v>
      </c>
      <c r="AF24" s="1347">
        <f>'Проверочная  таблица'!CY26</f>
        <v>0</v>
      </c>
      <c r="AG24" s="104">
        <f>'Федеральные  средства  по  МО'!G25</f>
        <v>0</v>
      </c>
      <c r="AH24" s="1348">
        <f>'Проверочная  таблица'!CT26</f>
        <v>0</v>
      </c>
      <c r="AI24" s="1345">
        <f>'Проверочная  таблица'!CX26</f>
        <v>0</v>
      </c>
      <c r="AJ24" s="1347">
        <f>'Проверочная  таблица'!CZ26</f>
        <v>0</v>
      </c>
      <c r="AK24" s="104">
        <f>'Федеральные  средства  по  МО'!H25</f>
        <v>0</v>
      </c>
      <c r="AL24" s="1345">
        <f t="shared" si="29"/>
        <v>0</v>
      </c>
      <c r="AM24" s="1342"/>
      <c r="AN24" s="1351"/>
      <c r="AO24" s="101">
        <f>'Федеральные  средства  по  МО'!I25</f>
        <v>0</v>
      </c>
      <c r="AP24" s="1345">
        <f t="shared" si="30"/>
        <v>0</v>
      </c>
      <c r="AQ24" s="1341"/>
      <c r="AR24" s="1342"/>
      <c r="AS24" s="101">
        <f>'Федеральные  средства  по  МО'!J25</f>
        <v>0</v>
      </c>
      <c r="AT24" s="1350">
        <f t="shared" si="9"/>
        <v>0</v>
      </c>
      <c r="AU24" s="1341"/>
      <c r="AV24" s="1342"/>
      <c r="AW24" s="101">
        <f>'Федеральные  средства  по  МО'!K25</f>
        <v>0</v>
      </c>
      <c r="AX24" s="1350">
        <f t="shared" si="10"/>
        <v>0</v>
      </c>
      <c r="AY24" s="1342"/>
      <c r="AZ24" s="1351"/>
      <c r="BA24" s="101">
        <f>'Федеральные  средства  по  МО'!L25</f>
        <v>0</v>
      </c>
      <c r="BB24" s="1350">
        <f t="shared" si="11"/>
        <v>0</v>
      </c>
      <c r="BC24" s="1342"/>
      <c r="BD24" s="1351"/>
      <c r="BE24" s="101">
        <f>'Федеральные  средства  по  МО'!M25</f>
        <v>0</v>
      </c>
      <c r="BF24" s="1350">
        <f t="shared" si="12"/>
        <v>0</v>
      </c>
      <c r="BG24" s="1341"/>
      <c r="BH24" s="1342"/>
      <c r="BI24" s="101">
        <f>'Федеральные  средства  по  МО'!N25</f>
        <v>0</v>
      </c>
      <c r="BJ24" s="1350">
        <f t="shared" si="13"/>
        <v>0</v>
      </c>
      <c r="BK24" s="1341"/>
      <c r="BL24" s="1342"/>
      <c r="BM24" s="101">
        <f>'Федеральные  средства  по  МО'!O25</f>
        <v>0</v>
      </c>
      <c r="BN24" s="1350">
        <f t="shared" si="14"/>
        <v>0</v>
      </c>
      <c r="BO24" s="1341"/>
      <c r="BP24" s="1342"/>
      <c r="BQ24" s="101">
        <f>'Федеральные  средства  по  МО'!P25</f>
        <v>0</v>
      </c>
      <c r="BR24" s="1350">
        <f t="shared" si="15"/>
        <v>0</v>
      </c>
      <c r="BS24" s="1341"/>
      <c r="BT24" s="1342"/>
      <c r="BU24" s="101">
        <f>'Федеральные  средства  по  МО'!Q25</f>
        <v>0</v>
      </c>
      <c r="BV24" s="1350">
        <f t="shared" si="16"/>
        <v>0</v>
      </c>
      <c r="BW24" s="1341"/>
      <c r="BX24" s="1342"/>
      <c r="BY24" s="101">
        <f>'Федеральные  средства  по  МО'!R25</f>
        <v>0</v>
      </c>
      <c r="BZ24" s="1350">
        <f t="shared" si="17"/>
        <v>0</v>
      </c>
      <c r="CA24" s="1342"/>
      <c r="CB24" s="1351"/>
      <c r="CC24" s="101">
        <f>'Федеральные  средства  по  МО'!S25</f>
        <v>0</v>
      </c>
      <c r="CD24" s="1350">
        <f t="shared" si="18"/>
        <v>0</v>
      </c>
      <c r="CE24" s="1341"/>
      <c r="CF24" s="1342"/>
      <c r="CG24" s="103">
        <f>'Федеральные  средства  по  МО'!T25</f>
        <v>0</v>
      </c>
      <c r="CH24" s="1345">
        <f t="shared" si="31"/>
        <v>0</v>
      </c>
      <c r="CI24" s="1346"/>
      <c r="CJ24" s="1345"/>
      <c r="CK24" s="104">
        <f>'Федеральные  средства  по  МО'!U25</f>
        <v>0</v>
      </c>
      <c r="CL24" s="1345">
        <f t="shared" si="32"/>
        <v>0</v>
      </c>
      <c r="CM24" s="1346"/>
      <c r="CN24" s="1345"/>
      <c r="CO24" s="100">
        <f>'Федеральные  средства  по  МО'!V25</f>
        <v>0</v>
      </c>
      <c r="CP24" s="1350"/>
      <c r="CQ24" s="1342"/>
      <c r="CR24" s="1351"/>
      <c r="CS24" s="101">
        <f>'Федеральные  средства  по  МО'!W25</f>
        <v>0</v>
      </c>
      <c r="CT24" s="1342"/>
      <c r="CU24" s="1341"/>
      <c r="CV24" s="1342"/>
      <c r="CW24" s="101">
        <f>'Федеральные  средства  по  МО'!X25</f>
        <v>0</v>
      </c>
      <c r="CX24" s="1350">
        <f t="shared" si="21"/>
        <v>0</v>
      </c>
      <c r="CY24" s="1342"/>
      <c r="CZ24" s="1351"/>
      <c r="DA24" s="101">
        <f>'Федеральные  средства  по  МО'!Y25</f>
        <v>0</v>
      </c>
      <c r="DB24" s="1350">
        <f t="shared" si="33"/>
        <v>0</v>
      </c>
      <c r="DC24" s="1341"/>
      <c r="DD24" s="1342"/>
      <c r="DE24" s="103">
        <f>'Федеральные  средства  по  МО'!Z25</f>
        <v>0</v>
      </c>
      <c r="DF24" s="1345">
        <f t="shared" si="34"/>
        <v>0</v>
      </c>
      <c r="DG24" s="1350"/>
      <c r="DH24" s="1342"/>
      <c r="DI24" s="101">
        <f>'Федеральные  средства  по  МО'!AA25</f>
        <v>0</v>
      </c>
      <c r="DJ24" s="1345">
        <f t="shared" si="35"/>
        <v>0</v>
      </c>
      <c r="DK24" s="1341"/>
      <c r="DL24" s="1342"/>
      <c r="DM24" s="101">
        <f>'Федеральные  средства  по  МО'!AB25</f>
        <v>0</v>
      </c>
      <c r="DN24" s="1350"/>
      <c r="DO24" s="1342"/>
      <c r="DP24" s="1348">
        <f t="shared" si="36"/>
        <v>0</v>
      </c>
      <c r="DQ24" s="101">
        <f>'Федеральные  средства  по  МО'!AC25</f>
        <v>0</v>
      </c>
      <c r="DR24" s="1342"/>
      <c r="DS24" s="1341"/>
      <c r="DT24" s="1348">
        <f t="shared" si="37"/>
        <v>0</v>
      </c>
      <c r="DU24" s="101">
        <f>'Федеральные  средства  по  МО'!AD25</f>
        <v>0</v>
      </c>
      <c r="DV24" s="1350">
        <f t="shared" si="22"/>
        <v>0</v>
      </c>
      <c r="DW24" s="1342"/>
      <c r="DX24" s="1351"/>
      <c r="DY24" s="101">
        <f>'Федеральные  средства  по  МО'!AE25</f>
        <v>0</v>
      </c>
      <c r="DZ24" s="1350">
        <f t="shared" si="23"/>
        <v>0</v>
      </c>
      <c r="EA24" s="1341"/>
      <c r="EB24" s="1342"/>
      <c r="EC24" s="103">
        <f>'Федеральные  средства  по  МО'!AH25</f>
        <v>0</v>
      </c>
      <c r="ED24" s="1348"/>
      <c r="EE24" s="1345">
        <f>'Проверочная  таблица'!HA26</f>
        <v>0</v>
      </c>
      <c r="EF24" s="1347"/>
      <c r="EG24" s="104">
        <f>'Федеральные  средства  по  МО'!AI25</f>
        <v>0</v>
      </c>
      <c r="EH24" s="1348"/>
      <c r="EI24" s="1345">
        <f>'Проверочная  таблица'!HD26</f>
        <v>0</v>
      </c>
      <c r="EJ24" s="1347"/>
      <c r="EK24" s="101">
        <f>'Федеральные  средства  по  МО'!AJ25</f>
        <v>0</v>
      </c>
      <c r="EL24" s="1350"/>
      <c r="EM24" s="1342"/>
      <c r="EN24" s="1351"/>
      <c r="EO24" s="101">
        <f>'Федеральные  средства  по  МО'!AK25</f>
        <v>0</v>
      </c>
      <c r="EP24" s="1342"/>
      <c r="EQ24" s="1341"/>
      <c r="ER24" s="1342"/>
      <c r="ES24" s="103">
        <f>'Федеральные  средства  по  МО'!AL25</f>
        <v>351168.39</v>
      </c>
      <c r="ET24" s="1345">
        <f>'Проверочная  таблица'!HS26</f>
        <v>249294.28</v>
      </c>
      <c r="EU24" s="1346">
        <f>'Проверочная  таблица'!IG26</f>
        <v>101874.11000000002</v>
      </c>
      <c r="EV24" s="1345">
        <f>'Проверочная  таблица'!IM26</f>
        <v>0</v>
      </c>
      <c r="EW24" s="104">
        <f>'Федеральные  средства  по  МО'!AM25</f>
        <v>351168.39</v>
      </c>
      <c r="EX24" s="1345">
        <f>'Проверочная  таблица'!HV26</f>
        <v>249294.28</v>
      </c>
      <c r="EY24" s="1346">
        <f>'Проверочная  таблица'!IJ26</f>
        <v>101874.11000000002</v>
      </c>
      <c r="EZ24" s="1345">
        <f>'Проверочная  таблица'!IP26</f>
        <v>0</v>
      </c>
      <c r="FA24" s="101">
        <f>'Федеральные  средства  по  МО'!AN25</f>
        <v>0</v>
      </c>
      <c r="FB24" s="1342"/>
      <c r="FC24" s="1348">
        <f>'Проверочная  таблица'!JY26</f>
        <v>0</v>
      </c>
      <c r="FD24" s="1345">
        <f>'Проверочная  таблица'!KI26</f>
        <v>0</v>
      </c>
      <c r="FE24" s="104">
        <f>'Федеральные  средства  по  МО'!AO25</f>
        <v>0</v>
      </c>
      <c r="FF24" s="1348"/>
      <c r="FG24" s="1345">
        <f>'Проверочная  таблица'!KD26</f>
        <v>0</v>
      </c>
      <c r="FH24" s="1347">
        <f>'Проверочная  таблица'!KN26</f>
        <v>0</v>
      </c>
      <c r="FI24" s="104">
        <f>'Федеральные  средства  по  МО'!AP25</f>
        <v>5000387.37</v>
      </c>
      <c r="FJ24" s="1348">
        <f t="shared" si="38"/>
        <v>5000387.37</v>
      </c>
      <c r="FK24" s="1345"/>
      <c r="FL24" s="1347"/>
      <c r="FM24" s="100">
        <f>'Федеральные  средства  по  МО'!AQ25</f>
        <v>5000387.37</v>
      </c>
      <c r="FN24" s="1348">
        <f t="shared" si="24"/>
        <v>5000387.37</v>
      </c>
      <c r="FO24" s="1345"/>
      <c r="FP24" s="1346"/>
      <c r="FQ24" s="103">
        <f>'Федеральные  средства  по  МО'!AT25</f>
        <v>0</v>
      </c>
      <c r="FR24" s="1345">
        <f>'Проверочная  таблица'!IS26</f>
        <v>0</v>
      </c>
      <c r="FS24" s="1346">
        <f>'Проверочная  таблица'!JW26</f>
        <v>0</v>
      </c>
      <c r="FT24" s="1345">
        <f>'Проверочная  таблица'!KG26</f>
        <v>0</v>
      </c>
      <c r="FU24" s="104">
        <f>'Федеральные  средства  по  МО'!AU25</f>
        <v>0</v>
      </c>
      <c r="FV24" s="1345">
        <f>'Проверочная  таблица'!JC26</f>
        <v>0</v>
      </c>
      <c r="FW24" s="1346">
        <f>'Проверочная  таблица'!KB26</f>
        <v>0</v>
      </c>
      <c r="FX24" s="1345">
        <f>'Проверочная  таблица'!KL26</f>
        <v>0</v>
      </c>
      <c r="FY24" s="104">
        <f>'Федеральные  средства  по  МО'!AR25</f>
        <v>0</v>
      </c>
      <c r="FZ24" s="1345">
        <f t="shared" si="39"/>
        <v>0</v>
      </c>
      <c r="GA24" s="1346"/>
      <c r="GB24" s="1348"/>
      <c r="GC24" s="101">
        <f>'Федеральные  средства  по  МО'!AS25</f>
        <v>0</v>
      </c>
      <c r="GD24" s="1345">
        <f t="shared" si="40"/>
        <v>0</v>
      </c>
      <c r="GE24" s="1347"/>
      <c r="GF24" s="1342"/>
      <c r="GG24" s="100">
        <f>'Федеральные  средства  по  МО'!AV25</f>
        <v>0</v>
      </c>
      <c r="GH24" s="1350">
        <f t="shared" si="41"/>
        <v>0</v>
      </c>
      <c r="GI24" s="1342"/>
      <c r="GJ24" s="1351"/>
      <c r="GK24" s="101">
        <f>'Федеральные  средства  по  МО'!AW25</f>
        <v>0</v>
      </c>
      <c r="GL24" s="1350">
        <f t="shared" si="25"/>
        <v>0</v>
      </c>
      <c r="GM24" s="1342"/>
      <c r="GN24" s="1341"/>
      <c r="GO24" s="1340"/>
      <c r="GP24" s="1341"/>
      <c r="GQ24" s="1342"/>
      <c r="GR24" s="1341"/>
      <c r="GS24" s="1343"/>
      <c r="GT24" s="1342"/>
      <c r="GU24" s="1341"/>
      <c r="GV24" s="1342"/>
      <c r="GW24" s="103">
        <f>'Федеральные  средства  по  МО'!AX25</f>
        <v>0</v>
      </c>
      <c r="GX24" s="1348"/>
      <c r="GY24" s="1345"/>
      <c r="GZ24" s="1347">
        <f>'Проверочная  таблица'!MA26</f>
        <v>0</v>
      </c>
      <c r="HA24" s="104">
        <f>'Федеральные  средства  по  МО'!AY25</f>
        <v>0</v>
      </c>
      <c r="HB24" s="1348"/>
      <c r="HC24" s="1345"/>
      <c r="HD24" s="1347">
        <f>'Проверочная  таблица'!ME26</f>
        <v>0</v>
      </c>
      <c r="HE24" s="104">
        <f>'Федеральные  средства  по  МО'!BD25</f>
        <v>0</v>
      </c>
      <c r="HF24" s="1348"/>
      <c r="HG24" s="1345">
        <f t="shared" si="42"/>
        <v>0</v>
      </c>
      <c r="HH24" s="1347"/>
      <c r="HI24" s="100">
        <f>'Федеральные  средства  по  МО'!BE25</f>
        <v>0</v>
      </c>
      <c r="HJ24" s="1348"/>
      <c r="HK24" s="1345">
        <f t="shared" si="43"/>
        <v>0</v>
      </c>
      <c r="HL24" s="1347"/>
      <c r="HM24" s="103">
        <f>'Федеральные  средства  по  МО'!AZ25</f>
        <v>535845.22000000009</v>
      </c>
      <c r="HN24" s="1348"/>
      <c r="HO24" s="1345">
        <f t="shared" si="44"/>
        <v>535845.22000000009</v>
      </c>
      <c r="HP24" s="1347"/>
      <c r="HQ24" s="100">
        <f>'Федеральные  средства  по  МО'!BA25</f>
        <v>535845.22</v>
      </c>
      <c r="HR24" s="1348"/>
      <c r="HS24" s="1345">
        <f t="shared" si="45"/>
        <v>535845.22</v>
      </c>
      <c r="HT24" s="1346"/>
      <c r="HU24" s="103">
        <f>'Федеральные  средства  по  МО'!AF25</f>
        <v>0</v>
      </c>
      <c r="HV24" s="1345"/>
      <c r="HW24" s="1346">
        <f t="shared" si="46"/>
        <v>0</v>
      </c>
      <c r="HX24" s="1345"/>
      <c r="HY24" s="104">
        <f>'Федеральные  средства  по  МО'!AG25</f>
        <v>0</v>
      </c>
      <c r="HZ24" s="1345"/>
      <c r="IA24" s="1346">
        <f t="shared" si="47"/>
        <v>0</v>
      </c>
      <c r="IB24" s="1345"/>
      <c r="IC24" s="104">
        <f>'Федеральные  средства  по  МО'!BH25</f>
        <v>0</v>
      </c>
      <c r="ID24" s="1345">
        <f>'Проверочная  таблица'!NU26</f>
        <v>0</v>
      </c>
      <c r="IE24" s="1346"/>
      <c r="IF24" s="1345"/>
      <c r="IG24" s="104">
        <f>'Федеральные  средства  по  МО'!BI25</f>
        <v>0</v>
      </c>
      <c r="IH24" s="1345">
        <f>'Проверочная  таблица'!OB26</f>
        <v>0</v>
      </c>
      <c r="II24" s="1346"/>
      <c r="IJ24" s="1345"/>
      <c r="IK24" s="104">
        <f>'Федеральные  средства  по  МО'!BJ25</f>
        <v>0</v>
      </c>
      <c r="IL24" s="1348">
        <f>'Проверочная  таблица'!NW26</f>
        <v>0</v>
      </c>
      <c r="IM24" s="1345">
        <f>'Проверочная  таблица'!OY26</f>
        <v>0</v>
      </c>
      <c r="IN24" s="1347"/>
      <c r="IO24" s="104">
        <f>'Федеральные  средства  по  МО'!BK25</f>
        <v>0</v>
      </c>
      <c r="IP24" s="1348">
        <f>'Проверочная  таблица'!OD26</f>
        <v>0</v>
      </c>
      <c r="IQ24" s="1345">
        <f>'Проверочная  таблица'!OR26</f>
        <v>0</v>
      </c>
      <c r="IR24" s="1347"/>
      <c r="IS24" s="100">
        <f>'Федеральные  средства  по  МО'!BB25</f>
        <v>0</v>
      </c>
      <c r="IT24" s="1350"/>
      <c r="IU24" s="1342"/>
      <c r="IV24" s="1351"/>
      <c r="IW24" s="101">
        <f>'Федеральные  средства  по  МО'!BC25</f>
        <v>0</v>
      </c>
      <c r="IX24" s="1342"/>
      <c r="IY24" s="1341"/>
      <c r="IZ24" s="1342"/>
      <c r="JA24" s="101">
        <f>'Федеральные  средства  по  МО'!BF25</f>
        <v>0</v>
      </c>
      <c r="JB24" s="1350"/>
      <c r="JC24" s="1342"/>
      <c r="JD24" s="1351"/>
      <c r="JE24" s="101">
        <f>'Федеральные  средства  по  МО'!BG25</f>
        <v>0</v>
      </c>
      <c r="JF24" s="1342"/>
      <c r="JG24" s="1341"/>
      <c r="JH24" s="1342"/>
      <c r="JI24" s="103">
        <f>'Федеральные  средства  по  МО'!BL25</f>
        <v>0</v>
      </c>
      <c r="JJ24" s="1345">
        <f>'Проверочная  таблица'!PW26</f>
        <v>0</v>
      </c>
      <c r="JK24" s="1346">
        <f>'Проверочная  таблица'!QI26</f>
        <v>0</v>
      </c>
      <c r="JL24" s="1345"/>
      <c r="JM24" s="104">
        <f>'Федеральные  средства  по  МО'!BM25</f>
        <v>0</v>
      </c>
      <c r="JN24" s="1345">
        <f>'Проверочная  таблица'!PZ26</f>
        <v>0</v>
      </c>
      <c r="JO24" s="1346">
        <f>'Проверочная  таблица'!QL26</f>
        <v>0</v>
      </c>
      <c r="JP24" s="1345"/>
    </row>
    <row r="25" spans="1:276" ht="25.5" customHeight="1" x14ac:dyDescent="0.25">
      <c r="A25" s="102" t="s">
        <v>94</v>
      </c>
      <c r="B25" s="278">
        <f t="shared" si="26"/>
        <v>22659156.440000005</v>
      </c>
      <c r="C25" s="1329">
        <f t="shared" si="0"/>
        <v>4307264.9800000004</v>
      </c>
      <c r="D25" s="1329">
        <f t="shared" si="0"/>
        <v>1416500.2200000002</v>
      </c>
      <c r="E25" s="1329">
        <f t="shared" si="0"/>
        <v>16935391.240000002</v>
      </c>
      <c r="F25" s="278">
        <f t="shared" si="27"/>
        <v>14603893.510000002</v>
      </c>
      <c r="G25" s="1329">
        <f t="shared" si="28"/>
        <v>4307264.9700000007</v>
      </c>
      <c r="H25" s="1329">
        <f t="shared" si="28"/>
        <v>990684.3899999999</v>
      </c>
      <c r="I25" s="1329">
        <f t="shared" si="28"/>
        <v>9305944.1500000022</v>
      </c>
      <c r="J25" s="105"/>
      <c r="K25" s="1330">
        <f>M25-'Федеральные  средства  по  МО'!D26</f>
        <v>0</v>
      </c>
      <c r="L25" s="1330">
        <f>Q25-'Федеральные  средства  по  МО'!E26</f>
        <v>0</v>
      </c>
      <c r="M25" s="278">
        <f t="shared" si="1"/>
        <v>32252899.400000002</v>
      </c>
      <c r="N25" s="1329">
        <f t="shared" si="2"/>
        <v>4307264.9800000004</v>
      </c>
      <c r="O25" s="1329">
        <f t="shared" si="3"/>
        <v>1416500.2200000002</v>
      </c>
      <c r="P25" s="1329">
        <f t="shared" si="4"/>
        <v>26529134.200000003</v>
      </c>
      <c r="Q25" s="278">
        <f t="shared" si="5"/>
        <v>23685211.029999997</v>
      </c>
      <c r="R25" s="1329">
        <f t="shared" si="6"/>
        <v>4307264.9700000007</v>
      </c>
      <c r="S25" s="1329">
        <f t="shared" si="7"/>
        <v>990684.3899999999</v>
      </c>
      <c r="T25" s="1329">
        <f t="shared" si="8"/>
        <v>18387261.670000002</v>
      </c>
      <c r="U25" s="103"/>
      <c r="V25" s="1345"/>
      <c r="W25" s="1346"/>
      <c r="X25" s="1345"/>
      <c r="Y25" s="101"/>
      <c r="Z25" s="1346"/>
      <c r="AA25" s="1345"/>
      <c r="AB25" s="1346"/>
      <c r="AC25" s="103">
        <f>'Федеральные  средства  по  МО'!F26</f>
        <v>9593742.9600000009</v>
      </c>
      <c r="AD25" s="1348">
        <f>'Проверочная  таблица'!CS27</f>
        <v>0</v>
      </c>
      <c r="AE25" s="1345">
        <f>'Проверочная  таблица'!CW27</f>
        <v>0</v>
      </c>
      <c r="AF25" s="1347">
        <f>'Проверочная  таблица'!CY27</f>
        <v>9593742.9600000009</v>
      </c>
      <c r="AG25" s="104">
        <f>'Федеральные  средства  по  МО'!G26</f>
        <v>9081317.5199999996</v>
      </c>
      <c r="AH25" s="1348">
        <f>'Проверочная  таблица'!CT27</f>
        <v>0</v>
      </c>
      <c r="AI25" s="1345">
        <f>'Проверочная  таблица'!CX27</f>
        <v>0</v>
      </c>
      <c r="AJ25" s="1347">
        <f>'Проверочная  таблица'!CZ27</f>
        <v>9081317.5199999996</v>
      </c>
      <c r="AK25" s="104">
        <f>'Федеральные  средства  по  МО'!H26</f>
        <v>0</v>
      </c>
      <c r="AL25" s="1345">
        <f t="shared" si="29"/>
        <v>0</v>
      </c>
      <c r="AM25" s="1346"/>
      <c r="AN25" s="1348"/>
      <c r="AO25" s="101">
        <f>'Федеральные  средства  по  МО'!I26</f>
        <v>0</v>
      </c>
      <c r="AP25" s="1345">
        <f t="shared" si="30"/>
        <v>0</v>
      </c>
      <c r="AQ25" s="1345"/>
      <c r="AR25" s="1346"/>
      <c r="AS25" s="101">
        <f>'Федеральные  средства  по  МО'!J26</f>
        <v>0</v>
      </c>
      <c r="AT25" s="1347">
        <f t="shared" si="9"/>
        <v>0</v>
      </c>
      <c r="AU25" s="1345"/>
      <c r="AV25" s="1346"/>
      <c r="AW25" s="101">
        <f>'Федеральные  средства  по  МО'!K26</f>
        <v>0</v>
      </c>
      <c r="AX25" s="1347">
        <f t="shared" si="10"/>
        <v>0</v>
      </c>
      <c r="AY25" s="1346"/>
      <c r="AZ25" s="1348"/>
      <c r="BA25" s="101">
        <f>'Федеральные  средства  по  МО'!L26</f>
        <v>0</v>
      </c>
      <c r="BB25" s="1347">
        <f t="shared" si="11"/>
        <v>0</v>
      </c>
      <c r="BC25" s="1346"/>
      <c r="BD25" s="1348"/>
      <c r="BE25" s="101">
        <f>'Федеральные  средства  по  МО'!M26</f>
        <v>0</v>
      </c>
      <c r="BF25" s="1347">
        <f t="shared" si="12"/>
        <v>0</v>
      </c>
      <c r="BG25" s="1345"/>
      <c r="BH25" s="1346"/>
      <c r="BI25" s="101">
        <f>'Федеральные  средства  по  МО'!N26</f>
        <v>2685700</v>
      </c>
      <c r="BJ25" s="1347">
        <f t="shared" si="13"/>
        <v>2685700</v>
      </c>
      <c r="BK25" s="1345"/>
      <c r="BL25" s="1346"/>
      <c r="BM25" s="101">
        <f>'Федеральные  средства  по  МО'!O26</f>
        <v>2685699.99</v>
      </c>
      <c r="BN25" s="1347">
        <f t="shared" si="14"/>
        <v>2685699.99</v>
      </c>
      <c r="BO25" s="1345"/>
      <c r="BP25" s="1346"/>
      <c r="BQ25" s="101">
        <f>'Федеральные  средства  по  МО'!P26</f>
        <v>0</v>
      </c>
      <c r="BR25" s="1347">
        <f t="shared" si="15"/>
        <v>0</v>
      </c>
      <c r="BS25" s="1345"/>
      <c r="BT25" s="1346"/>
      <c r="BU25" s="101">
        <f>'Федеральные  средства  по  МО'!Q26</f>
        <v>0</v>
      </c>
      <c r="BV25" s="1347">
        <f t="shared" si="16"/>
        <v>0</v>
      </c>
      <c r="BW25" s="1345"/>
      <c r="BX25" s="1346"/>
      <c r="BY25" s="101">
        <f>'Федеральные  средства  по  МО'!R26</f>
        <v>0</v>
      </c>
      <c r="BZ25" s="1347">
        <f t="shared" si="17"/>
        <v>0</v>
      </c>
      <c r="CA25" s="1346"/>
      <c r="CB25" s="1348"/>
      <c r="CC25" s="101">
        <f>'Федеральные  средства  по  МО'!S26</f>
        <v>0</v>
      </c>
      <c r="CD25" s="1347">
        <f t="shared" si="18"/>
        <v>0</v>
      </c>
      <c r="CE25" s="1345"/>
      <c r="CF25" s="1346"/>
      <c r="CG25" s="103">
        <f>'Федеральные  средства  по  МО'!T26</f>
        <v>0</v>
      </c>
      <c r="CH25" s="1345">
        <f t="shared" si="31"/>
        <v>0</v>
      </c>
      <c r="CI25" s="1346"/>
      <c r="CJ25" s="1345"/>
      <c r="CK25" s="104">
        <f>'Федеральные  средства  по  МО'!U26</f>
        <v>0</v>
      </c>
      <c r="CL25" s="1345">
        <f t="shared" si="32"/>
        <v>0</v>
      </c>
      <c r="CM25" s="1346"/>
      <c r="CN25" s="1345"/>
      <c r="CO25" s="100">
        <f>'Федеральные  средства  по  МО'!V26</f>
        <v>0</v>
      </c>
      <c r="CP25" s="1347"/>
      <c r="CQ25" s="1346"/>
      <c r="CR25" s="1348"/>
      <c r="CS25" s="101">
        <f>'Федеральные  средства  по  МО'!W26</f>
        <v>0</v>
      </c>
      <c r="CT25" s="1346"/>
      <c r="CU25" s="1345"/>
      <c r="CV25" s="1346"/>
      <c r="CW25" s="101">
        <f>'Федеральные  средства  по  МО'!X26</f>
        <v>0</v>
      </c>
      <c r="CX25" s="1347">
        <f t="shared" si="21"/>
        <v>0</v>
      </c>
      <c r="CY25" s="1346"/>
      <c r="CZ25" s="1348"/>
      <c r="DA25" s="101">
        <f>'Федеральные  средства  по  МО'!Y26</f>
        <v>0</v>
      </c>
      <c r="DB25" s="1347">
        <f t="shared" si="33"/>
        <v>0</v>
      </c>
      <c r="DC25" s="1345"/>
      <c r="DD25" s="1346"/>
      <c r="DE25" s="103">
        <f>'Федеральные  средства  по  МО'!Z26</f>
        <v>0</v>
      </c>
      <c r="DF25" s="1345">
        <f t="shared" si="34"/>
        <v>0</v>
      </c>
      <c r="DG25" s="1347"/>
      <c r="DH25" s="1346"/>
      <c r="DI25" s="101">
        <f>'Федеральные  средства  по  МО'!AA26</f>
        <v>0</v>
      </c>
      <c r="DJ25" s="1345">
        <f t="shared" si="35"/>
        <v>0</v>
      </c>
      <c r="DK25" s="1345"/>
      <c r="DL25" s="1346"/>
      <c r="DM25" s="101">
        <f>'Федеральные  средства  по  МО'!AB26</f>
        <v>0</v>
      </c>
      <c r="DN25" s="1347"/>
      <c r="DO25" s="1346"/>
      <c r="DP25" s="1348">
        <f t="shared" si="36"/>
        <v>0</v>
      </c>
      <c r="DQ25" s="101">
        <f>'Федеральные  средства  по  МО'!AC26</f>
        <v>0</v>
      </c>
      <c r="DR25" s="1346"/>
      <c r="DS25" s="1345"/>
      <c r="DT25" s="1348">
        <f t="shared" si="37"/>
        <v>0</v>
      </c>
      <c r="DU25" s="101">
        <f>'Федеральные  средства  по  МО'!AD26</f>
        <v>0</v>
      </c>
      <c r="DV25" s="1347">
        <f t="shared" si="22"/>
        <v>0</v>
      </c>
      <c r="DW25" s="1346"/>
      <c r="DX25" s="1348"/>
      <c r="DY25" s="101">
        <f>'Федеральные  средства  по  МО'!AE26</f>
        <v>0</v>
      </c>
      <c r="DZ25" s="1347">
        <f t="shared" si="23"/>
        <v>0</v>
      </c>
      <c r="EA25" s="1345"/>
      <c r="EB25" s="1346"/>
      <c r="EC25" s="103">
        <f>'Федеральные  средства  по  МО'!AH26</f>
        <v>0</v>
      </c>
      <c r="ED25" s="1348"/>
      <c r="EE25" s="1345">
        <f>'Проверочная  таблица'!HA27</f>
        <v>0</v>
      </c>
      <c r="EF25" s="1347"/>
      <c r="EG25" s="104">
        <f>'Федеральные  средства  по  МО'!AI26</f>
        <v>0</v>
      </c>
      <c r="EH25" s="1348"/>
      <c r="EI25" s="1345">
        <f>'Проверочная  таблица'!HD27</f>
        <v>0</v>
      </c>
      <c r="EJ25" s="1347"/>
      <c r="EK25" s="101">
        <f>'Федеральные  средства  по  МО'!AJ26</f>
        <v>0</v>
      </c>
      <c r="EL25" s="1347"/>
      <c r="EM25" s="1346"/>
      <c r="EN25" s="1348"/>
      <c r="EO25" s="101">
        <f>'Федеральные  средства  по  МО'!AK26</f>
        <v>0</v>
      </c>
      <c r="EP25" s="1346"/>
      <c r="EQ25" s="1345"/>
      <c r="ER25" s="1346"/>
      <c r="ES25" s="103">
        <f>'Федеральные  средства  по  МО'!AL26</f>
        <v>2550408.7999999998</v>
      </c>
      <c r="ET25" s="1345">
        <f>'Проверочная  таблица'!HS27</f>
        <v>1621564.98</v>
      </c>
      <c r="EU25" s="1346">
        <f>'Проверочная  таблица'!IG27</f>
        <v>523452.58000000007</v>
      </c>
      <c r="EV25" s="1345">
        <f>'Проверочная  таблица'!IM27</f>
        <v>405391.24</v>
      </c>
      <c r="EW25" s="104">
        <f>'Федеральные  средства  по  МО'!AM26</f>
        <v>2550408.7999999998</v>
      </c>
      <c r="EX25" s="1345">
        <f>'Проверочная  таблица'!HV27</f>
        <v>1621564.98</v>
      </c>
      <c r="EY25" s="1346">
        <f>'Проверочная  таблица'!IJ27</f>
        <v>523452.57999999984</v>
      </c>
      <c r="EZ25" s="1345">
        <f>'Проверочная  таблица'!IP27</f>
        <v>405391.24</v>
      </c>
      <c r="FA25" s="101">
        <f>'Федеральные  средства  по  МО'!AN26</f>
        <v>0</v>
      </c>
      <c r="FB25" s="1346"/>
      <c r="FC25" s="1348">
        <f>'Проверочная  таблица'!JY27</f>
        <v>0</v>
      </c>
      <c r="FD25" s="1345">
        <f>'Проверочная  таблица'!KI27</f>
        <v>0</v>
      </c>
      <c r="FE25" s="104">
        <f>'Федеральные  средства  по  МО'!AO26</f>
        <v>0</v>
      </c>
      <c r="FF25" s="1348"/>
      <c r="FG25" s="1345">
        <f>'Проверочная  таблица'!KD27</f>
        <v>0</v>
      </c>
      <c r="FH25" s="1347">
        <f>'Проверочная  таблица'!KN27</f>
        <v>0</v>
      </c>
      <c r="FI25" s="104">
        <f>'Федеральные  средства  по  МО'!AP26</f>
        <v>0</v>
      </c>
      <c r="FJ25" s="1348">
        <f t="shared" si="38"/>
        <v>0</v>
      </c>
      <c r="FK25" s="1345"/>
      <c r="FL25" s="1347"/>
      <c r="FM25" s="100">
        <f>'Федеральные  средства  по  МО'!AQ26</f>
        <v>0</v>
      </c>
      <c r="FN25" s="1348">
        <f t="shared" si="24"/>
        <v>0</v>
      </c>
      <c r="FO25" s="1345"/>
      <c r="FP25" s="1346"/>
      <c r="FQ25" s="103">
        <f>'Федеральные  средства  по  МО'!AT26</f>
        <v>0</v>
      </c>
      <c r="FR25" s="1345">
        <f>'Проверочная  таблица'!IS27</f>
        <v>0</v>
      </c>
      <c r="FS25" s="1346">
        <f>'Проверочная  таблица'!JW27</f>
        <v>0</v>
      </c>
      <c r="FT25" s="1345">
        <f>'Проверочная  таблица'!KG27</f>
        <v>0</v>
      </c>
      <c r="FU25" s="104">
        <f>'Федеральные  средства  по  МО'!AU26</f>
        <v>0</v>
      </c>
      <c r="FV25" s="1345">
        <f>'Проверочная  таблица'!JC27</f>
        <v>0</v>
      </c>
      <c r="FW25" s="1346">
        <f>'Проверочная  таблица'!KB27</f>
        <v>0</v>
      </c>
      <c r="FX25" s="1345">
        <f>'Проверочная  таблица'!KL27</f>
        <v>0</v>
      </c>
      <c r="FY25" s="104">
        <f>'Федеральные  средства  по  МО'!AR26</f>
        <v>0</v>
      </c>
      <c r="FZ25" s="1345">
        <f t="shared" si="39"/>
        <v>0</v>
      </c>
      <c r="GA25" s="1346"/>
      <c r="GB25" s="1348"/>
      <c r="GC25" s="101">
        <f>'Федеральные  средства  по  МО'!AS26</f>
        <v>0</v>
      </c>
      <c r="GD25" s="1345">
        <f t="shared" si="40"/>
        <v>0</v>
      </c>
      <c r="GE25" s="1347"/>
      <c r="GF25" s="1346"/>
      <c r="GG25" s="100">
        <f>'Федеральные  средства  по  МО'!AV26</f>
        <v>0</v>
      </c>
      <c r="GH25" s="1347">
        <f t="shared" si="41"/>
        <v>0</v>
      </c>
      <c r="GI25" s="1346"/>
      <c r="GJ25" s="1348"/>
      <c r="GK25" s="101">
        <f>'Федеральные  средства  по  МО'!AW26</f>
        <v>0</v>
      </c>
      <c r="GL25" s="1347">
        <f t="shared" si="25"/>
        <v>0</v>
      </c>
      <c r="GM25" s="1346"/>
      <c r="GN25" s="1345"/>
      <c r="GO25" s="104"/>
      <c r="GP25" s="1345"/>
      <c r="GQ25" s="1346"/>
      <c r="GR25" s="1345"/>
      <c r="GS25" s="100"/>
      <c r="GT25" s="1346"/>
      <c r="GU25" s="1345"/>
      <c r="GV25" s="1346"/>
      <c r="GW25" s="103">
        <f>'Федеральные  средства  по  МО'!AX26</f>
        <v>16530000</v>
      </c>
      <c r="GX25" s="1348"/>
      <c r="GY25" s="1345"/>
      <c r="GZ25" s="1347">
        <f>'Проверочная  таблица'!MA27</f>
        <v>16530000</v>
      </c>
      <c r="HA25" s="104">
        <f>'Федеральные  средства  по  МО'!AY26</f>
        <v>8900552.9100000001</v>
      </c>
      <c r="HB25" s="1348"/>
      <c r="HC25" s="1345"/>
      <c r="HD25" s="1347">
        <f>'Проверочная  таблица'!ME27</f>
        <v>8900552.9100000001</v>
      </c>
      <c r="HE25" s="104">
        <f>'Федеральные  средства  по  МО'!BD26</f>
        <v>0</v>
      </c>
      <c r="HF25" s="1348"/>
      <c r="HG25" s="1345">
        <f t="shared" si="42"/>
        <v>0</v>
      </c>
      <c r="HH25" s="1347"/>
      <c r="HI25" s="100">
        <f>'Федеральные  средства  по  МО'!BE26</f>
        <v>0</v>
      </c>
      <c r="HJ25" s="1348"/>
      <c r="HK25" s="1345">
        <f t="shared" si="43"/>
        <v>0</v>
      </c>
      <c r="HL25" s="1347"/>
      <c r="HM25" s="103">
        <f>'Федеральные  средства  по  МО'!AZ26</f>
        <v>893047.64</v>
      </c>
      <c r="HN25" s="1348"/>
      <c r="HO25" s="1345">
        <f t="shared" si="44"/>
        <v>893047.64</v>
      </c>
      <c r="HP25" s="1347"/>
      <c r="HQ25" s="100">
        <f>'Федеральные  средства  по  МО'!BA26</f>
        <v>467231.81</v>
      </c>
      <c r="HR25" s="1348"/>
      <c r="HS25" s="1345">
        <f t="shared" si="45"/>
        <v>467231.81</v>
      </c>
      <c r="HT25" s="1346"/>
      <c r="HU25" s="103">
        <f>'Федеральные  средства  по  МО'!AF26</f>
        <v>0</v>
      </c>
      <c r="HV25" s="1345"/>
      <c r="HW25" s="1346">
        <f t="shared" si="46"/>
        <v>0</v>
      </c>
      <c r="HX25" s="1345"/>
      <c r="HY25" s="104">
        <f>'Федеральные  средства  по  МО'!AG26</f>
        <v>0</v>
      </c>
      <c r="HZ25" s="1345"/>
      <c r="IA25" s="1346">
        <f t="shared" si="47"/>
        <v>0</v>
      </c>
      <c r="IB25" s="1345"/>
      <c r="IC25" s="104">
        <f>'Федеральные  средства  по  МО'!BH26</f>
        <v>0</v>
      </c>
      <c r="ID25" s="1345">
        <f>'Проверочная  таблица'!NU27</f>
        <v>0</v>
      </c>
      <c r="IE25" s="1346"/>
      <c r="IF25" s="1345"/>
      <c r="IG25" s="104">
        <f>'Федеральные  средства  по  МО'!BI26</f>
        <v>0</v>
      </c>
      <c r="IH25" s="1345">
        <f>'Проверочная  таблица'!OB27</f>
        <v>0</v>
      </c>
      <c r="II25" s="1346"/>
      <c r="IJ25" s="1345"/>
      <c r="IK25" s="104">
        <f>'Федеральные  средства  по  МО'!BJ26</f>
        <v>0</v>
      </c>
      <c r="IL25" s="1348">
        <f>'Проверочная  таблица'!NW27</f>
        <v>0</v>
      </c>
      <c r="IM25" s="1345">
        <f>'Проверочная  таблица'!OY27</f>
        <v>0</v>
      </c>
      <c r="IN25" s="1347"/>
      <c r="IO25" s="104">
        <f>'Федеральные  средства  по  МО'!BK26</f>
        <v>0</v>
      </c>
      <c r="IP25" s="1348">
        <f>'Проверочная  таблица'!OD27</f>
        <v>0</v>
      </c>
      <c r="IQ25" s="1345">
        <f>'Проверочная  таблица'!OR27</f>
        <v>0</v>
      </c>
      <c r="IR25" s="1347"/>
      <c r="IS25" s="100">
        <f>'Федеральные  средства  по  МО'!BB26</f>
        <v>0</v>
      </c>
      <c r="IT25" s="1347"/>
      <c r="IU25" s="1346"/>
      <c r="IV25" s="1348"/>
      <c r="IW25" s="101">
        <f>'Федеральные  средства  по  МО'!BC26</f>
        <v>0</v>
      </c>
      <c r="IX25" s="1346"/>
      <c r="IY25" s="1345"/>
      <c r="IZ25" s="1346"/>
      <c r="JA25" s="101">
        <f>'Федеральные  средства  по  МО'!BF26</f>
        <v>0</v>
      </c>
      <c r="JB25" s="1347"/>
      <c r="JC25" s="1346"/>
      <c r="JD25" s="1348"/>
      <c r="JE25" s="101">
        <f>'Федеральные  средства  по  МО'!BG26</f>
        <v>0</v>
      </c>
      <c r="JF25" s="1346"/>
      <c r="JG25" s="1345"/>
      <c r="JH25" s="1346"/>
      <c r="JI25" s="103">
        <f>'Федеральные  средства  по  МО'!BL26</f>
        <v>0</v>
      </c>
      <c r="JJ25" s="1345">
        <f>'Проверочная  таблица'!PW27</f>
        <v>0</v>
      </c>
      <c r="JK25" s="1346">
        <f>'Проверочная  таблица'!QI27</f>
        <v>0</v>
      </c>
      <c r="JL25" s="1345"/>
      <c r="JM25" s="104">
        <f>'Федеральные  средства  по  МО'!BM26</f>
        <v>0</v>
      </c>
      <c r="JN25" s="1345">
        <f>'Проверочная  таблица'!PZ27</f>
        <v>0</v>
      </c>
      <c r="JO25" s="1346">
        <f>'Проверочная  таблица'!QL27</f>
        <v>0</v>
      </c>
      <c r="JP25" s="1345"/>
    </row>
    <row r="26" spans="1:276" ht="25.5" customHeight="1" x14ac:dyDescent="0.25">
      <c r="A26" s="102" t="s">
        <v>95</v>
      </c>
      <c r="B26" s="278">
        <f t="shared" si="26"/>
        <v>239780281.23999998</v>
      </c>
      <c r="C26" s="1329">
        <f t="shared" si="0"/>
        <v>239046270.09999999</v>
      </c>
      <c r="D26" s="1329">
        <f t="shared" si="0"/>
        <v>734011.1399999999</v>
      </c>
      <c r="E26" s="1329">
        <f t="shared" si="0"/>
        <v>0</v>
      </c>
      <c r="F26" s="278">
        <f t="shared" si="27"/>
        <v>86663776.25999999</v>
      </c>
      <c r="G26" s="1329">
        <f t="shared" si="28"/>
        <v>85931070.539999992</v>
      </c>
      <c r="H26" s="1329">
        <f t="shared" si="28"/>
        <v>732705.72</v>
      </c>
      <c r="I26" s="1329">
        <f t="shared" si="28"/>
        <v>0</v>
      </c>
      <c r="J26" s="105"/>
      <c r="K26" s="1330">
        <f>M26-'Федеральные  средства  по  МО'!D27</f>
        <v>0</v>
      </c>
      <c r="L26" s="1330">
        <f>Q26-'Федеральные  средства  по  МО'!E27</f>
        <v>0</v>
      </c>
      <c r="M26" s="278">
        <f t="shared" si="1"/>
        <v>239780281.23999998</v>
      </c>
      <c r="N26" s="1329">
        <f t="shared" si="2"/>
        <v>239046270.09999999</v>
      </c>
      <c r="O26" s="1329">
        <f t="shared" si="3"/>
        <v>734011.1399999999</v>
      </c>
      <c r="P26" s="1329">
        <f t="shared" si="4"/>
        <v>0</v>
      </c>
      <c r="Q26" s="278">
        <f t="shared" si="5"/>
        <v>86663776.25999999</v>
      </c>
      <c r="R26" s="1329">
        <f t="shared" si="6"/>
        <v>85931070.539999992</v>
      </c>
      <c r="S26" s="1329">
        <f t="shared" si="7"/>
        <v>732705.72</v>
      </c>
      <c r="T26" s="1329">
        <f t="shared" si="8"/>
        <v>0</v>
      </c>
      <c r="U26" s="103"/>
      <c r="V26" s="1345"/>
      <c r="W26" s="1346"/>
      <c r="X26" s="1345"/>
      <c r="Y26" s="101"/>
      <c r="Z26" s="1346"/>
      <c r="AA26" s="1345"/>
      <c r="AB26" s="1346"/>
      <c r="AC26" s="103">
        <f>'Федеральные  средства  по  МО'!F27</f>
        <v>0</v>
      </c>
      <c r="AD26" s="1348">
        <f>'Проверочная  таблица'!CS28</f>
        <v>0</v>
      </c>
      <c r="AE26" s="1345">
        <f>'Проверочная  таблица'!CW28</f>
        <v>0</v>
      </c>
      <c r="AF26" s="1347">
        <f>'Проверочная  таблица'!CY28</f>
        <v>0</v>
      </c>
      <c r="AG26" s="104">
        <f>'Федеральные  средства  по  МО'!G27</f>
        <v>0</v>
      </c>
      <c r="AH26" s="1348">
        <f>'Проверочная  таблица'!CT28</f>
        <v>0</v>
      </c>
      <c r="AI26" s="1345">
        <f>'Проверочная  таблица'!CX28</f>
        <v>0</v>
      </c>
      <c r="AJ26" s="1347">
        <f>'Проверочная  таблица'!CZ28</f>
        <v>0</v>
      </c>
      <c r="AK26" s="104">
        <f>'Федеральные  средства  по  МО'!H27</f>
        <v>220019347.06</v>
      </c>
      <c r="AL26" s="1345">
        <f t="shared" si="29"/>
        <v>220019347.06</v>
      </c>
      <c r="AM26" s="1346"/>
      <c r="AN26" s="1348"/>
      <c r="AO26" s="101">
        <f>'Федеральные  средства  по  МО'!I27</f>
        <v>73300877.640000001</v>
      </c>
      <c r="AP26" s="1345">
        <f t="shared" si="30"/>
        <v>73300877.640000001</v>
      </c>
      <c r="AQ26" s="1345"/>
      <c r="AR26" s="1346"/>
      <c r="AS26" s="101">
        <f>'Федеральные  средства  по  МО'!J27</f>
        <v>0</v>
      </c>
      <c r="AT26" s="1347">
        <f t="shared" si="9"/>
        <v>0</v>
      </c>
      <c r="AU26" s="1345"/>
      <c r="AV26" s="1346"/>
      <c r="AW26" s="101">
        <f>'Федеральные  средства  по  МО'!K27</f>
        <v>0</v>
      </c>
      <c r="AX26" s="1347">
        <f t="shared" si="10"/>
        <v>0</v>
      </c>
      <c r="AY26" s="1346"/>
      <c r="AZ26" s="1348"/>
      <c r="BA26" s="101">
        <f>'Федеральные  средства  по  МО'!L27</f>
        <v>0</v>
      </c>
      <c r="BB26" s="1347">
        <f t="shared" si="11"/>
        <v>0</v>
      </c>
      <c r="BC26" s="1346"/>
      <c r="BD26" s="1348"/>
      <c r="BE26" s="101">
        <f>'Федеральные  средства  по  МО'!M27</f>
        <v>0</v>
      </c>
      <c r="BF26" s="1347">
        <f t="shared" si="12"/>
        <v>0</v>
      </c>
      <c r="BG26" s="1345"/>
      <c r="BH26" s="1346"/>
      <c r="BI26" s="101">
        <f>'Федеральные  средства  по  МО'!N27</f>
        <v>0</v>
      </c>
      <c r="BJ26" s="1347">
        <f t="shared" si="13"/>
        <v>0</v>
      </c>
      <c r="BK26" s="1345"/>
      <c r="BL26" s="1346"/>
      <c r="BM26" s="101">
        <f>'Федеральные  средства  по  МО'!O27</f>
        <v>0</v>
      </c>
      <c r="BN26" s="1347">
        <f t="shared" si="14"/>
        <v>0</v>
      </c>
      <c r="BO26" s="1345"/>
      <c r="BP26" s="1346"/>
      <c r="BQ26" s="101">
        <f>'Федеральные  средства  по  МО'!P27</f>
        <v>0</v>
      </c>
      <c r="BR26" s="1347">
        <f t="shared" si="15"/>
        <v>0</v>
      </c>
      <c r="BS26" s="1345"/>
      <c r="BT26" s="1346"/>
      <c r="BU26" s="101">
        <f>'Федеральные  средства  по  МО'!Q27</f>
        <v>0</v>
      </c>
      <c r="BV26" s="1347">
        <f t="shared" si="16"/>
        <v>0</v>
      </c>
      <c r="BW26" s="1345"/>
      <c r="BX26" s="1346"/>
      <c r="BY26" s="101">
        <f>'Федеральные  средства  по  МО'!R27</f>
        <v>0</v>
      </c>
      <c r="BZ26" s="1347">
        <f t="shared" si="17"/>
        <v>0</v>
      </c>
      <c r="CA26" s="1346"/>
      <c r="CB26" s="1348"/>
      <c r="CC26" s="101">
        <f>'Федеральные  средства  по  МО'!S27</f>
        <v>0</v>
      </c>
      <c r="CD26" s="1347">
        <f t="shared" si="18"/>
        <v>0</v>
      </c>
      <c r="CE26" s="1345"/>
      <c r="CF26" s="1346"/>
      <c r="CG26" s="103">
        <f>'Федеральные  средства  по  МО'!T27</f>
        <v>0</v>
      </c>
      <c r="CH26" s="1345">
        <f t="shared" si="31"/>
        <v>0</v>
      </c>
      <c r="CI26" s="1346"/>
      <c r="CJ26" s="1345"/>
      <c r="CK26" s="104">
        <f>'Федеральные  средства  по  МО'!U27</f>
        <v>0</v>
      </c>
      <c r="CL26" s="1345">
        <f t="shared" si="32"/>
        <v>0</v>
      </c>
      <c r="CM26" s="1346"/>
      <c r="CN26" s="1345"/>
      <c r="CO26" s="100">
        <f>'Федеральные  средства  по  МО'!V27</f>
        <v>0</v>
      </c>
      <c r="CP26" s="1347"/>
      <c r="CQ26" s="1346"/>
      <c r="CR26" s="1348"/>
      <c r="CS26" s="101">
        <f>'Федеральные  средства  по  МО'!W27</f>
        <v>0</v>
      </c>
      <c r="CT26" s="1346"/>
      <c r="CU26" s="1345"/>
      <c r="CV26" s="1346"/>
      <c r="CW26" s="101">
        <f>'Федеральные  средства  по  МО'!X27</f>
        <v>0</v>
      </c>
      <c r="CX26" s="1347">
        <f t="shared" si="21"/>
        <v>0</v>
      </c>
      <c r="CY26" s="1346"/>
      <c r="CZ26" s="1348"/>
      <c r="DA26" s="101">
        <f>'Федеральные  средства  по  МО'!Y27</f>
        <v>0</v>
      </c>
      <c r="DB26" s="1347">
        <f t="shared" si="33"/>
        <v>0</v>
      </c>
      <c r="DC26" s="1345"/>
      <c r="DD26" s="1346"/>
      <c r="DE26" s="103">
        <f>'Федеральные  средства  по  МО'!Z27</f>
        <v>0</v>
      </c>
      <c r="DF26" s="1345">
        <f t="shared" si="34"/>
        <v>0</v>
      </c>
      <c r="DG26" s="1347"/>
      <c r="DH26" s="1346"/>
      <c r="DI26" s="101">
        <f>'Федеральные  средства  по  МО'!AA27</f>
        <v>0</v>
      </c>
      <c r="DJ26" s="1345">
        <f t="shared" si="35"/>
        <v>0</v>
      </c>
      <c r="DK26" s="1345"/>
      <c r="DL26" s="1346"/>
      <c r="DM26" s="101">
        <f>'Федеральные  средства  по  МО'!AB27</f>
        <v>0</v>
      </c>
      <c r="DN26" s="1347"/>
      <c r="DO26" s="1346"/>
      <c r="DP26" s="1348">
        <f t="shared" si="36"/>
        <v>0</v>
      </c>
      <c r="DQ26" s="101">
        <f>'Федеральные  средства  по  МО'!AC27</f>
        <v>0</v>
      </c>
      <c r="DR26" s="1346"/>
      <c r="DS26" s="1345"/>
      <c r="DT26" s="1348">
        <f t="shared" si="37"/>
        <v>0</v>
      </c>
      <c r="DU26" s="101">
        <f>'Федеральные  средства  по  МО'!AD27</f>
        <v>0</v>
      </c>
      <c r="DV26" s="1347">
        <f t="shared" si="22"/>
        <v>0</v>
      </c>
      <c r="DW26" s="1346"/>
      <c r="DX26" s="1348"/>
      <c r="DY26" s="101">
        <f>'Федеральные  средства  по  МО'!AE27</f>
        <v>0</v>
      </c>
      <c r="DZ26" s="1347">
        <f t="shared" si="23"/>
        <v>0</v>
      </c>
      <c r="EA26" s="1345"/>
      <c r="EB26" s="1346"/>
      <c r="EC26" s="103">
        <f>'Федеральные  средства  по  МО'!AH27</f>
        <v>268269.73</v>
      </c>
      <c r="ED26" s="1348"/>
      <c r="EE26" s="1345">
        <f>'Проверочная  таблица'!HA28</f>
        <v>268269.73</v>
      </c>
      <c r="EF26" s="1347"/>
      <c r="EG26" s="104">
        <f>'Федеральные  средства  по  МО'!AI27</f>
        <v>268269.73</v>
      </c>
      <c r="EH26" s="1348"/>
      <c r="EI26" s="1345">
        <f>'Проверочная  таблица'!HD28</f>
        <v>268269.73</v>
      </c>
      <c r="EJ26" s="1347"/>
      <c r="EK26" s="101">
        <f>'Федеральные  средства  по  МО'!AJ27</f>
        <v>0</v>
      </c>
      <c r="EL26" s="1347"/>
      <c r="EM26" s="1346"/>
      <c r="EN26" s="1348"/>
      <c r="EO26" s="101">
        <f>'Федеральные  средства  по  МО'!AK27</f>
        <v>0</v>
      </c>
      <c r="EP26" s="1346"/>
      <c r="EQ26" s="1345"/>
      <c r="ER26" s="1346"/>
      <c r="ES26" s="103">
        <f>'Федеральные  средства  по  МО'!AL27</f>
        <v>431468.85</v>
      </c>
      <c r="ET26" s="1345">
        <f>'Проверочная  таблица'!HS28</f>
        <v>431468.85</v>
      </c>
      <c r="EU26" s="1346">
        <f>'Проверочная  таблица'!IG28</f>
        <v>0</v>
      </c>
      <c r="EV26" s="1345">
        <f>'Проверочная  таблица'!IM28</f>
        <v>0</v>
      </c>
      <c r="EW26" s="104">
        <f>'Федеральные  средства  по  МО'!AM27</f>
        <v>431468.85</v>
      </c>
      <c r="EX26" s="1345">
        <f>'Проверочная  таблица'!HV28</f>
        <v>431468.85</v>
      </c>
      <c r="EY26" s="1346">
        <f>'Проверочная  таблица'!IJ28</f>
        <v>0</v>
      </c>
      <c r="EZ26" s="1345">
        <f>'Проверочная  таблица'!IP28</f>
        <v>0</v>
      </c>
      <c r="FA26" s="101">
        <f>'Федеральные  средства  по  МО'!AN27</f>
        <v>0</v>
      </c>
      <c r="FB26" s="1346"/>
      <c r="FC26" s="1348">
        <f>'Проверочная  таблица'!JY28</f>
        <v>0</v>
      </c>
      <c r="FD26" s="1345">
        <f>'Проверочная  таблица'!KI28</f>
        <v>0</v>
      </c>
      <c r="FE26" s="104">
        <f>'Федеральные  средства  по  МО'!AO27</f>
        <v>0</v>
      </c>
      <c r="FF26" s="1348"/>
      <c r="FG26" s="1345">
        <f>'Проверочная  таблица'!KD28</f>
        <v>0</v>
      </c>
      <c r="FH26" s="1347">
        <f>'Проверочная  таблица'!KN28</f>
        <v>0</v>
      </c>
      <c r="FI26" s="104">
        <f>'Федеральные  средства  по  МО'!AP27</f>
        <v>5000387.37</v>
      </c>
      <c r="FJ26" s="1348">
        <f t="shared" si="38"/>
        <v>5000387.37</v>
      </c>
      <c r="FK26" s="1345"/>
      <c r="FL26" s="1347"/>
      <c r="FM26" s="100">
        <f>'Федеральные  средства  по  МО'!AQ27</f>
        <v>4963193.2699999996</v>
      </c>
      <c r="FN26" s="1348">
        <f t="shared" si="24"/>
        <v>4963193.2699999996</v>
      </c>
      <c r="FO26" s="1345"/>
      <c r="FP26" s="1346"/>
      <c r="FQ26" s="103">
        <f>'Федеральные  средства  по  МО'!AT27</f>
        <v>0</v>
      </c>
      <c r="FR26" s="1345">
        <f>'Проверочная  таблица'!IS28</f>
        <v>0</v>
      </c>
      <c r="FS26" s="1346">
        <f>'Проверочная  таблица'!JW28</f>
        <v>0</v>
      </c>
      <c r="FT26" s="1345">
        <f>'Проверочная  таблица'!KG28</f>
        <v>0</v>
      </c>
      <c r="FU26" s="104">
        <f>'Федеральные  средства  по  МО'!AU27</f>
        <v>0</v>
      </c>
      <c r="FV26" s="1345">
        <f>'Проверочная  таблица'!JC28</f>
        <v>0</v>
      </c>
      <c r="FW26" s="1346">
        <f>'Проверочная  таблица'!KB28</f>
        <v>0</v>
      </c>
      <c r="FX26" s="1345">
        <f>'Проверочная  таблица'!KL28</f>
        <v>0</v>
      </c>
      <c r="FY26" s="104">
        <f>'Федеральные  средства  по  МО'!AR27</f>
        <v>7317048.8200000003</v>
      </c>
      <c r="FZ26" s="1345">
        <f t="shared" si="39"/>
        <v>7317048.8200000003</v>
      </c>
      <c r="GA26" s="1346"/>
      <c r="GB26" s="1348"/>
      <c r="GC26" s="101">
        <f>'Федеральные  средства  по  МО'!AS27</f>
        <v>957512.79</v>
      </c>
      <c r="GD26" s="1345">
        <f t="shared" si="40"/>
        <v>957512.79</v>
      </c>
      <c r="GE26" s="1347"/>
      <c r="GF26" s="1346"/>
      <c r="GG26" s="100">
        <f>'Федеральные  средства  по  МО'!AV27</f>
        <v>0</v>
      </c>
      <c r="GH26" s="1347">
        <f t="shared" si="41"/>
        <v>0</v>
      </c>
      <c r="GI26" s="1346"/>
      <c r="GJ26" s="1348"/>
      <c r="GK26" s="101">
        <f>'Федеральные  средства  по  МО'!AW27</f>
        <v>0</v>
      </c>
      <c r="GL26" s="1347">
        <f t="shared" si="25"/>
        <v>0</v>
      </c>
      <c r="GM26" s="1346"/>
      <c r="GN26" s="1345"/>
      <c r="GO26" s="104"/>
      <c r="GP26" s="1345"/>
      <c r="GQ26" s="1346"/>
      <c r="GR26" s="1345"/>
      <c r="GS26" s="100"/>
      <c r="GT26" s="1346"/>
      <c r="GU26" s="1345"/>
      <c r="GV26" s="1346"/>
      <c r="GW26" s="103">
        <f>'Федеральные  средства  по  МО'!AX27</f>
        <v>0</v>
      </c>
      <c r="GX26" s="1348"/>
      <c r="GY26" s="1345"/>
      <c r="GZ26" s="1347">
        <f>'Проверочная  таблица'!MA28</f>
        <v>0</v>
      </c>
      <c r="HA26" s="104">
        <f>'Федеральные  средства  по  МО'!AY27</f>
        <v>0</v>
      </c>
      <c r="HB26" s="1348"/>
      <c r="HC26" s="1345"/>
      <c r="HD26" s="1347">
        <f>'Проверочная  таблица'!ME28</f>
        <v>0</v>
      </c>
      <c r="HE26" s="104">
        <f>'Федеральные  средства  по  МО'!BD27</f>
        <v>0</v>
      </c>
      <c r="HF26" s="1348"/>
      <c r="HG26" s="1345">
        <f t="shared" si="42"/>
        <v>0</v>
      </c>
      <c r="HH26" s="1347"/>
      <c r="HI26" s="100">
        <f>'Федеральные  средства  по  МО'!BE27</f>
        <v>0</v>
      </c>
      <c r="HJ26" s="1348"/>
      <c r="HK26" s="1345">
        <f t="shared" si="43"/>
        <v>0</v>
      </c>
      <c r="HL26" s="1347"/>
      <c r="HM26" s="103">
        <f>'Федеральные  средства  по  МО'!AZ27</f>
        <v>465741.41</v>
      </c>
      <c r="HN26" s="1348"/>
      <c r="HO26" s="1345">
        <f t="shared" si="44"/>
        <v>465741.41</v>
      </c>
      <c r="HP26" s="1347"/>
      <c r="HQ26" s="100">
        <f>'Федеральные  средства  по  МО'!BA27</f>
        <v>464435.99</v>
      </c>
      <c r="HR26" s="1348"/>
      <c r="HS26" s="1345">
        <f t="shared" si="45"/>
        <v>464435.99</v>
      </c>
      <c r="HT26" s="1346"/>
      <c r="HU26" s="103">
        <f>'Федеральные  средства  по  МО'!AF27</f>
        <v>0</v>
      </c>
      <c r="HV26" s="1345"/>
      <c r="HW26" s="1346">
        <f t="shared" si="46"/>
        <v>0</v>
      </c>
      <c r="HX26" s="1345"/>
      <c r="HY26" s="104">
        <f>'Федеральные  средства  по  МО'!AG27</f>
        <v>0</v>
      </c>
      <c r="HZ26" s="1345"/>
      <c r="IA26" s="1346">
        <f t="shared" si="47"/>
        <v>0</v>
      </c>
      <c r="IB26" s="1345"/>
      <c r="IC26" s="104">
        <f>'Федеральные  средства  по  МО'!BH27</f>
        <v>0</v>
      </c>
      <c r="ID26" s="1345">
        <f>'Проверочная  таблица'!NU28</f>
        <v>0</v>
      </c>
      <c r="IE26" s="1346"/>
      <c r="IF26" s="1345"/>
      <c r="IG26" s="104">
        <f>'Федеральные  средства  по  МО'!BI27</f>
        <v>0</v>
      </c>
      <c r="IH26" s="1345">
        <f>'Проверочная  таблица'!OB28</f>
        <v>0</v>
      </c>
      <c r="II26" s="1346"/>
      <c r="IJ26" s="1345"/>
      <c r="IK26" s="104">
        <f>'Федеральные  средства  по  МО'!BJ27</f>
        <v>6278018</v>
      </c>
      <c r="IL26" s="1348">
        <f>'Проверочная  таблица'!NW28</f>
        <v>6278018</v>
      </c>
      <c r="IM26" s="1345">
        <f>'Проверочная  таблица'!OY28</f>
        <v>0</v>
      </c>
      <c r="IN26" s="1347"/>
      <c r="IO26" s="104">
        <f>'Федеральные  средства  по  МО'!BK27</f>
        <v>6278017.9900000002</v>
      </c>
      <c r="IP26" s="1348">
        <f>'Проверочная  таблица'!OD28</f>
        <v>6278017.9900000002</v>
      </c>
      <c r="IQ26" s="1345">
        <f>'Проверочная  таблица'!OR28</f>
        <v>0</v>
      </c>
      <c r="IR26" s="1347"/>
      <c r="IS26" s="100">
        <f>'Федеральные  средства  по  МО'!BB27</f>
        <v>0</v>
      </c>
      <c r="IT26" s="1347"/>
      <c r="IU26" s="1346"/>
      <c r="IV26" s="1348"/>
      <c r="IW26" s="101">
        <f>'Федеральные  средства  по  МО'!BC27</f>
        <v>0</v>
      </c>
      <c r="IX26" s="1346"/>
      <c r="IY26" s="1345"/>
      <c r="IZ26" s="1346"/>
      <c r="JA26" s="101">
        <f>'Федеральные  средства  по  МО'!BF27</f>
        <v>0</v>
      </c>
      <c r="JB26" s="1347"/>
      <c r="JC26" s="1346"/>
      <c r="JD26" s="1348"/>
      <c r="JE26" s="101">
        <f>'Федеральные  средства  по  МО'!BG27</f>
        <v>0</v>
      </c>
      <c r="JF26" s="1346"/>
      <c r="JG26" s="1345"/>
      <c r="JH26" s="1346"/>
      <c r="JI26" s="103">
        <f>'Федеральные  средства  по  МО'!BL27</f>
        <v>0</v>
      </c>
      <c r="JJ26" s="1345">
        <f>'Проверочная  таблица'!PW28</f>
        <v>0</v>
      </c>
      <c r="JK26" s="1346">
        <f>'Проверочная  таблица'!QI28</f>
        <v>0</v>
      </c>
      <c r="JL26" s="1345"/>
      <c r="JM26" s="104">
        <f>'Федеральные  средства  по  МО'!BM27</f>
        <v>0</v>
      </c>
      <c r="JN26" s="1345">
        <f>'Проверочная  таблица'!PZ28</f>
        <v>0</v>
      </c>
      <c r="JO26" s="1346">
        <f>'Проверочная  таблица'!QL28</f>
        <v>0</v>
      </c>
      <c r="JP26" s="1345"/>
    </row>
    <row r="27" spans="1:276" ht="25.5" customHeight="1" thickBot="1" x14ac:dyDescent="0.3">
      <c r="A27" s="106" t="s">
        <v>96</v>
      </c>
      <c r="B27" s="278">
        <f t="shared" si="26"/>
        <v>37287553.049999997</v>
      </c>
      <c r="C27" s="1329">
        <f t="shared" si="0"/>
        <v>21860062.289999999</v>
      </c>
      <c r="D27" s="1329">
        <f t="shared" si="0"/>
        <v>936008.59</v>
      </c>
      <c r="E27" s="1329">
        <f t="shared" si="0"/>
        <v>14491482.17</v>
      </c>
      <c r="F27" s="278">
        <f t="shared" si="27"/>
        <v>10381897.76</v>
      </c>
      <c r="G27" s="1329">
        <f t="shared" si="28"/>
        <v>200774.87</v>
      </c>
      <c r="H27" s="1329">
        <f t="shared" si="28"/>
        <v>677222.39999999991</v>
      </c>
      <c r="I27" s="1329">
        <f t="shared" si="28"/>
        <v>9503900.4900000002</v>
      </c>
      <c r="J27" s="105"/>
      <c r="K27" s="1330">
        <f>M27-'Федеральные  средства  по  МО'!D28</f>
        <v>0</v>
      </c>
      <c r="L27" s="1330">
        <f>Q27-'Федеральные  средства  по  МО'!E28</f>
        <v>0</v>
      </c>
      <c r="M27" s="278">
        <f t="shared" si="1"/>
        <v>37287553.049999997</v>
      </c>
      <c r="N27" s="1329">
        <f t="shared" si="2"/>
        <v>21860062.289999999</v>
      </c>
      <c r="O27" s="1329">
        <f t="shared" si="3"/>
        <v>936008.59</v>
      </c>
      <c r="P27" s="1329">
        <f t="shared" si="4"/>
        <v>14491482.17</v>
      </c>
      <c r="Q27" s="278">
        <f t="shared" si="5"/>
        <v>10381897.76</v>
      </c>
      <c r="R27" s="1329">
        <f t="shared" si="6"/>
        <v>200774.87</v>
      </c>
      <c r="S27" s="1329">
        <f t="shared" si="7"/>
        <v>677222.39999999991</v>
      </c>
      <c r="T27" s="1329">
        <f t="shared" si="8"/>
        <v>9503900.4900000002</v>
      </c>
      <c r="U27" s="108"/>
      <c r="V27" s="1352"/>
      <c r="W27" s="1353"/>
      <c r="X27" s="1352"/>
      <c r="Y27" s="107"/>
      <c r="Z27" s="1353"/>
      <c r="AA27" s="1352"/>
      <c r="AB27" s="1353"/>
      <c r="AC27" s="108">
        <f>'Федеральные  средства  по  МО'!F28</f>
        <v>0</v>
      </c>
      <c r="AD27" s="1358">
        <f>'Проверочная  таблица'!CS29</f>
        <v>0</v>
      </c>
      <c r="AE27" s="1352">
        <f>'Проверочная  таблица'!CW29</f>
        <v>0</v>
      </c>
      <c r="AF27" s="1354">
        <f>'Проверочная  таблица'!CY29</f>
        <v>0</v>
      </c>
      <c r="AG27" s="109">
        <f>'Федеральные  средства  по  МО'!G28</f>
        <v>0</v>
      </c>
      <c r="AH27" s="1358">
        <f>'Проверочная  таблица'!CT29</f>
        <v>0</v>
      </c>
      <c r="AI27" s="1352">
        <f>'Проверочная  таблица'!CX29</f>
        <v>0</v>
      </c>
      <c r="AJ27" s="1354">
        <f>'Проверочная  таблица'!CZ29</f>
        <v>0</v>
      </c>
      <c r="AK27" s="109">
        <f>'Федеральные  средства  по  МО'!H28</f>
        <v>0</v>
      </c>
      <c r="AL27" s="1352">
        <f t="shared" si="29"/>
        <v>0</v>
      </c>
      <c r="AM27" s="1342"/>
      <c r="AN27" s="1351"/>
      <c r="AO27" s="107">
        <f>'Федеральные  средства  по  МО'!I28</f>
        <v>0</v>
      </c>
      <c r="AP27" s="1352">
        <f t="shared" si="30"/>
        <v>0</v>
      </c>
      <c r="AQ27" s="1341"/>
      <c r="AR27" s="1342"/>
      <c r="AS27" s="107">
        <f>'Федеральные  средства  по  МО'!J28</f>
        <v>0</v>
      </c>
      <c r="AT27" s="1350">
        <f>AS27</f>
        <v>0</v>
      </c>
      <c r="AU27" s="1355"/>
      <c r="AV27" s="1356"/>
      <c r="AW27" s="107">
        <f>'Федеральные  средства  по  МО'!K28</f>
        <v>0</v>
      </c>
      <c r="AX27" s="1350">
        <f>AW27</f>
        <v>0</v>
      </c>
      <c r="AY27" s="1356"/>
      <c r="AZ27" s="1408"/>
      <c r="BA27" s="107">
        <f>'Федеральные  средства  по  МО'!L28</f>
        <v>0</v>
      </c>
      <c r="BB27" s="1350">
        <f>BA27</f>
        <v>0</v>
      </c>
      <c r="BC27" s="1356"/>
      <c r="BD27" s="1408"/>
      <c r="BE27" s="107">
        <f>'Федеральные  средства  по  МО'!M28</f>
        <v>0</v>
      </c>
      <c r="BF27" s="1350">
        <f>BE27</f>
        <v>0</v>
      </c>
      <c r="BG27" s="1355"/>
      <c r="BH27" s="1356"/>
      <c r="BI27" s="107">
        <f>'Федеральные  средства  по  МО'!N28</f>
        <v>0</v>
      </c>
      <c r="BJ27" s="1350">
        <f>BI27</f>
        <v>0</v>
      </c>
      <c r="BK27" s="1355"/>
      <c r="BL27" s="1356"/>
      <c r="BM27" s="107">
        <f>'Федеральные  средства  по  МО'!O28</f>
        <v>0</v>
      </c>
      <c r="BN27" s="1350">
        <f>BM27</f>
        <v>0</v>
      </c>
      <c r="BO27" s="1355"/>
      <c r="BP27" s="1356"/>
      <c r="BQ27" s="107">
        <f>'Федеральные  средства  по  МО'!P28</f>
        <v>0</v>
      </c>
      <c r="BR27" s="1350">
        <f>BQ27</f>
        <v>0</v>
      </c>
      <c r="BS27" s="1355"/>
      <c r="BT27" s="1356"/>
      <c r="BU27" s="107">
        <f>'Федеральные  средства  по  МО'!Q28</f>
        <v>0</v>
      </c>
      <c r="BV27" s="1350">
        <f>BU27</f>
        <v>0</v>
      </c>
      <c r="BW27" s="1355"/>
      <c r="BX27" s="1356"/>
      <c r="BY27" s="107">
        <f>'Федеральные  средства  по  МО'!R28</f>
        <v>0</v>
      </c>
      <c r="BZ27" s="1350">
        <f>BY27</f>
        <v>0</v>
      </c>
      <c r="CA27" s="1342"/>
      <c r="CB27" s="1351"/>
      <c r="CC27" s="107">
        <f>'Федеральные  средства  по  МО'!S28</f>
        <v>0</v>
      </c>
      <c r="CD27" s="1350">
        <f t="shared" si="18"/>
        <v>0</v>
      </c>
      <c r="CE27" s="1341"/>
      <c r="CF27" s="1342"/>
      <c r="CG27" s="108">
        <f>'Федеральные  средства  по  МО'!T28</f>
        <v>0</v>
      </c>
      <c r="CH27" s="1352">
        <f t="shared" si="31"/>
        <v>0</v>
      </c>
      <c r="CI27" s="1353"/>
      <c r="CJ27" s="1352"/>
      <c r="CK27" s="109">
        <f>'Федеральные  средства  по  МО'!U28</f>
        <v>0</v>
      </c>
      <c r="CL27" s="1352">
        <f t="shared" si="32"/>
        <v>0</v>
      </c>
      <c r="CM27" s="1353"/>
      <c r="CN27" s="1352"/>
      <c r="CO27" s="486">
        <f>'Федеральные  средства  по  МО'!V28</f>
        <v>0</v>
      </c>
      <c r="CP27" s="1357"/>
      <c r="CQ27" s="1356"/>
      <c r="CR27" s="1408"/>
      <c r="CS27" s="107">
        <f>'Федеральные  средства  по  МО'!W28</f>
        <v>0</v>
      </c>
      <c r="CT27" s="1356"/>
      <c r="CU27" s="1355"/>
      <c r="CV27" s="1356"/>
      <c r="CW27" s="107">
        <f>'Федеральные  средства  по  МО'!X28</f>
        <v>0</v>
      </c>
      <c r="CX27" s="1350">
        <f t="shared" si="21"/>
        <v>0</v>
      </c>
      <c r="CY27" s="1342"/>
      <c r="CZ27" s="1351"/>
      <c r="DA27" s="107">
        <f>'Федеральные  средства  по  МО'!Y28</f>
        <v>0</v>
      </c>
      <c r="DB27" s="1350">
        <f t="shared" si="33"/>
        <v>0</v>
      </c>
      <c r="DC27" s="1341"/>
      <c r="DD27" s="1342"/>
      <c r="DE27" s="108">
        <f>'Федеральные  средства  по  МО'!Z28</f>
        <v>0</v>
      </c>
      <c r="DF27" s="1352">
        <f t="shared" si="34"/>
        <v>0</v>
      </c>
      <c r="DG27" s="1357"/>
      <c r="DH27" s="1356"/>
      <c r="DI27" s="107">
        <f>'Федеральные  средства  по  МО'!AA28</f>
        <v>0</v>
      </c>
      <c r="DJ27" s="1352">
        <f t="shared" si="35"/>
        <v>0</v>
      </c>
      <c r="DK27" s="1355"/>
      <c r="DL27" s="1356"/>
      <c r="DM27" s="107">
        <f>'Федеральные  средства  по  МО'!AB28</f>
        <v>0</v>
      </c>
      <c r="DN27" s="1357"/>
      <c r="DO27" s="1356"/>
      <c r="DP27" s="1358">
        <f t="shared" si="36"/>
        <v>0</v>
      </c>
      <c r="DQ27" s="107">
        <f>'Федеральные  средства  по  МО'!AC28</f>
        <v>0</v>
      </c>
      <c r="DR27" s="1356"/>
      <c r="DS27" s="1355"/>
      <c r="DT27" s="1358">
        <f t="shared" si="37"/>
        <v>0</v>
      </c>
      <c r="DU27" s="107">
        <f>'Федеральные  средства  по  МО'!AD28</f>
        <v>0</v>
      </c>
      <c r="DV27" s="1350">
        <f t="shared" si="22"/>
        <v>0</v>
      </c>
      <c r="DW27" s="1342"/>
      <c r="DX27" s="1351"/>
      <c r="DY27" s="107">
        <f>'Федеральные  средства  по  МО'!AE28</f>
        <v>0</v>
      </c>
      <c r="DZ27" s="1350">
        <f t="shared" si="23"/>
        <v>0</v>
      </c>
      <c r="EA27" s="1341"/>
      <c r="EB27" s="1342"/>
      <c r="EC27" s="108">
        <f>'Федеральные  средства  по  МО'!AH28</f>
        <v>0</v>
      </c>
      <c r="ED27" s="1358"/>
      <c r="EE27" s="1352">
        <f>'Проверочная  таблица'!HA29</f>
        <v>0</v>
      </c>
      <c r="EF27" s="1354"/>
      <c r="EG27" s="109">
        <f>'Федеральные  средства  по  МО'!AI28</f>
        <v>0</v>
      </c>
      <c r="EH27" s="1358"/>
      <c r="EI27" s="1352">
        <f>'Проверочная  таблица'!HD29</f>
        <v>0</v>
      </c>
      <c r="EJ27" s="1354"/>
      <c r="EK27" s="107">
        <f>'Федеральные  средства  по  МО'!AJ28</f>
        <v>0</v>
      </c>
      <c r="EL27" s="1350"/>
      <c r="EM27" s="1342"/>
      <c r="EN27" s="1351"/>
      <c r="EO27" s="107">
        <f>'Федеральные  средства  по  МО'!AK28</f>
        <v>0</v>
      </c>
      <c r="EP27" s="1342"/>
      <c r="EQ27" s="1341"/>
      <c r="ER27" s="1342"/>
      <c r="ES27" s="108">
        <f>'Федеральные  средства  по  МО'!AL28</f>
        <v>1006325.96</v>
      </c>
      <c r="ET27" s="1352">
        <f>'Проверочная  таблица'!HS29</f>
        <v>864012.29</v>
      </c>
      <c r="EU27" s="1353">
        <f>'Проверочная  таблица'!IG29</f>
        <v>142313.66999999993</v>
      </c>
      <c r="EV27" s="1352">
        <f>'Проверочная  таблица'!IM29</f>
        <v>0</v>
      </c>
      <c r="EW27" s="109">
        <f>'Федеральные  средства  по  МО'!AM28</f>
        <v>343088.54</v>
      </c>
      <c r="EX27" s="1352">
        <f>'Проверочная  таблица'!HV29</f>
        <v>200774.87</v>
      </c>
      <c r="EY27" s="1353">
        <f>'Проверочная  таблица'!IJ29</f>
        <v>142313.66999999998</v>
      </c>
      <c r="EZ27" s="1352">
        <f>'Проверочная  таблица'!IP29</f>
        <v>0</v>
      </c>
      <c r="FA27" s="107">
        <f>'Федеральные  средства  по  МО'!AN28</f>
        <v>0</v>
      </c>
      <c r="FB27" s="1342"/>
      <c r="FC27" s="1358">
        <f>'Проверочная  таблица'!JY29</f>
        <v>0</v>
      </c>
      <c r="FD27" s="1352">
        <f>'Проверочная  таблица'!KI29</f>
        <v>0</v>
      </c>
      <c r="FE27" s="109">
        <f>'Федеральные  средства  по  МО'!AO28</f>
        <v>0</v>
      </c>
      <c r="FF27" s="1358"/>
      <c r="FG27" s="1352">
        <f>'Проверочная  таблица'!KD29</f>
        <v>0</v>
      </c>
      <c r="FH27" s="1354">
        <f>'Проверочная  таблица'!KN29</f>
        <v>0</v>
      </c>
      <c r="FI27" s="109">
        <f>'Федеральные  средства  по  МО'!AP28</f>
        <v>0</v>
      </c>
      <c r="FJ27" s="1358">
        <f t="shared" si="38"/>
        <v>0</v>
      </c>
      <c r="FK27" s="1352"/>
      <c r="FL27" s="1354"/>
      <c r="FM27" s="486">
        <f>'Федеральные  средства  по  МО'!AQ28</f>
        <v>0</v>
      </c>
      <c r="FN27" s="1358">
        <f t="shared" si="24"/>
        <v>0</v>
      </c>
      <c r="FO27" s="1352"/>
      <c r="FP27" s="1353"/>
      <c r="FQ27" s="108">
        <f>'Федеральные  средства  по  МО'!AT28</f>
        <v>0</v>
      </c>
      <c r="FR27" s="1352">
        <f>'Проверочная  таблица'!IS29</f>
        <v>0</v>
      </c>
      <c r="FS27" s="1353">
        <f>'Проверочная  таблица'!JW29</f>
        <v>0</v>
      </c>
      <c r="FT27" s="1352">
        <f>'Проверочная  таблица'!KG29</f>
        <v>0</v>
      </c>
      <c r="FU27" s="109">
        <f>'Федеральные  средства  по  МО'!AU28</f>
        <v>0</v>
      </c>
      <c r="FV27" s="1352">
        <f>'Проверочная  таблица'!JC29</f>
        <v>0</v>
      </c>
      <c r="FW27" s="1353">
        <f>'Проверочная  таблица'!KB29</f>
        <v>0</v>
      </c>
      <c r="FX27" s="1352">
        <f>'Проверочная  таблица'!KL29</f>
        <v>0</v>
      </c>
      <c r="FY27" s="109">
        <f>'Федеральные  средства  по  МО'!AR28</f>
        <v>0</v>
      </c>
      <c r="FZ27" s="1352">
        <f t="shared" si="39"/>
        <v>0</v>
      </c>
      <c r="GA27" s="1353"/>
      <c r="GB27" s="1358"/>
      <c r="GC27" s="107">
        <f>'Федеральные  средства  по  МО'!AS28</f>
        <v>0</v>
      </c>
      <c r="GD27" s="1352">
        <f t="shared" si="40"/>
        <v>0</v>
      </c>
      <c r="GE27" s="1354"/>
      <c r="GF27" s="1342"/>
      <c r="GG27" s="486">
        <f>'Федеральные  средства  по  МО'!AV28</f>
        <v>0</v>
      </c>
      <c r="GH27" s="1350">
        <f t="shared" si="41"/>
        <v>0</v>
      </c>
      <c r="GI27" s="1342"/>
      <c r="GJ27" s="1351"/>
      <c r="GK27" s="107">
        <f>'Федеральные  средства  по  МО'!AW28</f>
        <v>0</v>
      </c>
      <c r="GL27" s="1350">
        <f t="shared" si="25"/>
        <v>0</v>
      </c>
      <c r="GM27" s="1342"/>
      <c r="GN27" s="1341"/>
      <c r="GO27" s="1340"/>
      <c r="GP27" s="1341"/>
      <c r="GQ27" s="1342"/>
      <c r="GR27" s="1341"/>
      <c r="GS27" s="1343"/>
      <c r="GT27" s="1342"/>
      <c r="GU27" s="1341"/>
      <c r="GV27" s="1342"/>
      <c r="GW27" s="108">
        <f>'Федеральные  средства  по  МО'!AX28</f>
        <v>14491482.17</v>
      </c>
      <c r="GX27" s="1358"/>
      <c r="GY27" s="1352"/>
      <c r="GZ27" s="1354">
        <f>'Проверочная  таблица'!MA29</f>
        <v>14491482.17</v>
      </c>
      <c r="HA27" s="109">
        <f>'Федеральные  средства  по  МО'!AY28</f>
        <v>9503900.4900000002</v>
      </c>
      <c r="HB27" s="1358"/>
      <c r="HC27" s="1352"/>
      <c r="HD27" s="1354">
        <f>'Проверочная  таблица'!ME29</f>
        <v>9503900.4900000002</v>
      </c>
      <c r="HE27" s="109">
        <f>'Федеральные  средства  по  МО'!BD28</f>
        <v>0</v>
      </c>
      <c r="HF27" s="1358"/>
      <c r="HG27" s="1352">
        <f t="shared" si="42"/>
        <v>0</v>
      </c>
      <c r="HH27" s="1354"/>
      <c r="HI27" s="486">
        <f>'Федеральные  средства  по  МО'!BE28</f>
        <v>0</v>
      </c>
      <c r="HJ27" s="1358"/>
      <c r="HK27" s="1352">
        <f t="shared" si="43"/>
        <v>0</v>
      </c>
      <c r="HL27" s="1354"/>
      <c r="HM27" s="108">
        <f>'Федеральные  средства  по  МО'!AZ28</f>
        <v>793694.92</v>
      </c>
      <c r="HN27" s="1358"/>
      <c r="HO27" s="1352">
        <f t="shared" si="44"/>
        <v>793694.92</v>
      </c>
      <c r="HP27" s="1354"/>
      <c r="HQ27" s="486">
        <f>'Федеральные  средства  по  МО'!BA28</f>
        <v>534908.73</v>
      </c>
      <c r="HR27" s="1358"/>
      <c r="HS27" s="1352">
        <f t="shared" si="45"/>
        <v>534908.73</v>
      </c>
      <c r="HT27" s="1353"/>
      <c r="HU27" s="108">
        <f>'Федеральные  средства  по  МО'!AF28</f>
        <v>0</v>
      </c>
      <c r="HV27" s="1352"/>
      <c r="HW27" s="1353">
        <f t="shared" si="46"/>
        <v>0</v>
      </c>
      <c r="HX27" s="1352"/>
      <c r="HY27" s="109">
        <f>'Федеральные  средства  по  МО'!AG28</f>
        <v>0</v>
      </c>
      <c r="HZ27" s="1352"/>
      <c r="IA27" s="1353">
        <f t="shared" si="47"/>
        <v>0</v>
      </c>
      <c r="IB27" s="1352"/>
      <c r="IC27" s="109">
        <f>'Федеральные  средства  по  МО'!BH28</f>
        <v>0</v>
      </c>
      <c r="ID27" s="1352">
        <f>'Проверочная  таблица'!NU29</f>
        <v>0</v>
      </c>
      <c r="IE27" s="1353"/>
      <c r="IF27" s="1352"/>
      <c r="IG27" s="109">
        <f>'Федеральные  средства  по  МО'!BI28</f>
        <v>0</v>
      </c>
      <c r="IH27" s="1352">
        <f>'Проверочная  таблица'!OB29</f>
        <v>0</v>
      </c>
      <c r="II27" s="1353"/>
      <c r="IJ27" s="1352"/>
      <c r="IK27" s="109">
        <f>'Федеральные  средства  по  МО'!BJ28</f>
        <v>0</v>
      </c>
      <c r="IL27" s="1358">
        <f>'Проверочная  таблица'!NW29</f>
        <v>0</v>
      </c>
      <c r="IM27" s="1352">
        <f>'Проверочная  таблица'!OY29</f>
        <v>0</v>
      </c>
      <c r="IN27" s="1354"/>
      <c r="IO27" s="109">
        <f>'Федеральные  средства  по  МО'!BK28</f>
        <v>0</v>
      </c>
      <c r="IP27" s="1358">
        <f>'Проверочная  таблица'!OD29</f>
        <v>0</v>
      </c>
      <c r="IQ27" s="1352">
        <f>'Проверочная  таблица'!OR29</f>
        <v>0</v>
      </c>
      <c r="IR27" s="1354"/>
      <c r="IS27" s="486">
        <f>'Федеральные  средства  по  МО'!BB28</f>
        <v>0</v>
      </c>
      <c r="IT27" s="1350"/>
      <c r="IU27" s="1342"/>
      <c r="IV27" s="1351"/>
      <c r="IW27" s="107">
        <f>'Федеральные  средства  по  МО'!BC28</f>
        <v>0</v>
      </c>
      <c r="IX27" s="1342"/>
      <c r="IY27" s="1341"/>
      <c r="IZ27" s="1342"/>
      <c r="JA27" s="107">
        <f>'Федеральные  средства  по  МО'!BF28</f>
        <v>0</v>
      </c>
      <c r="JB27" s="1350"/>
      <c r="JC27" s="1342"/>
      <c r="JD27" s="1351"/>
      <c r="JE27" s="107">
        <f>'Федеральные  средства  по  МО'!BG28</f>
        <v>0</v>
      </c>
      <c r="JF27" s="1342"/>
      <c r="JG27" s="1341"/>
      <c r="JH27" s="1342"/>
      <c r="JI27" s="108">
        <f>'Федеральные  средства  по  МО'!BL28</f>
        <v>20996050</v>
      </c>
      <c r="JJ27" s="1352">
        <f>'Проверочная  таблица'!PW29</f>
        <v>20996050</v>
      </c>
      <c r="JK27" s="1353">
        <f>'Проверочная  таблица'!QI29</f>
        <v>0</v>
      </c>
      <c r="JL27" s="1352"/>
      <c r="JM27" s="109">
        <f>'Федеральные  средства  по  МО'!BM28</f>
        <v>0</v>
      </c>
      <c r="JN27" s="1352">
        <f>'Проверочная  таблица'!PZ29</f>
        <v>0</v>
      </c>
      <c r="JO27" s="1353">
        <f>'Проверочная  таблица'!QL29</f>
        <v>0</v>
      </c>
      <c r="JP27" s="1352"/>
    </row>
    <row r="28" spans="1:276" ht="25.5" customHeight="1" thickBot="1" x14ac:dyDescent="0.3">
      <c r="A28" s="160" t="s">
        <v>104</v>
      </c>
      <c r="B28" s="114">
        <f t="shared" ref="B28" si="48">SUM(B10:B27)</f>
        <v>1374018592.8000002</v>
      </c>
      <c r="C28" s="1359">
        <f t="shared" ref="C28:I28" si="49">SUM(C10:C27)</f>
        <v>1168773357.55</v>
      </c>
      <c r="D28" s="1359">
        <f t="shared" si="49"/>
        <v>98160355.589999989</v>
      </c>
      <c r="E28" s="1359">
        <f t="shared" si="49"/>
        <v>107084879.65999998</v>
      </c>
      <c r="F28" s="114">
        <f t="shared" si="49"/>
        <v>643633456.53999996</v>
      </c>
      <c r="G28" s="1359">
        <f t="shared" si="49"/>
        <v>531387015.41000009</v>
      </c>
      <c r="H28" s="1359">
        <f t="shared" si="49"/>
        <v>33561798.979999997</v>
      </c>
      <c r="I28" s="1359">
        <f t="shared" si="49"/>
        <v>78684642.149999991</v>
      </c>
      <c r="J28" s="105"/>
      <c r="K28" s="1330">
        <f>M28-'Федеральные  средства  по  МО'!D29</f>
        <v>0</v>
      </c>
      <c r="L28" s="1330">
        <f>Q28-'Федеральные  средства  по  МО'!E29</f>
        <v>0</v>
      </c>
      <c r="M28" s="114">
        <f t="shared" ref="M28" si="50">SUM(M10:M27)</f>
        <v>1585988059.5700002</v>
      </c>
      <c r="N28" s="1359">
        <f t="shared" ref="N28:T28" si="51">SUM(N10:N27)</f>
        <v>1189581527.1399999</v>
      </c>
      <c r="O28" s="1359">
        <f t="shared" si="51"/>
        <v>102448752.14</v>
      </c>
      <c r="P28" s="1359">
        <f t="shared" si="51"/>
        <v>293957780.29000002</v>
      </c>
      <c r="Q28" s="114">
        <f t="shared" si="51"/>
        <v>812649104.75</v>
      </c>
      <c r="R28" s="1359">
        <f t="shared" si="51"/>
        <v>539578487.30000007</v>
      </c>
      <c r="S28" s="1359">
        <f t="shared" si="51"/>
        <v>36992516.229999997</v>
      </c>
      <c r="T28" s="1359">
        <f t="shared" si="51"/>
        <v>236078101.22000003</v>
      </c>
      <c r="U28" s="112">
        <f t="shared" ref="U28:BH28" si="52">SUM(U10:U27)</f>
        <v>0</v>
      </c>
      <c r="V28" s="1360">
        <f t="shared" si="52"/>
        <v>0</v>
      </c>
      <c r="W28" s="1361">
        <f t="shared" si="52"/>
        <v>0</v>
      </c>
      <c r="X28" s="1360">
        <f t="shared" si="52"/>
        <v>0</v>
      </c>
      <c r="Y28" s="111">
        <f t="shared" si="52"/>
        <v>0</v>
      </c>
      <c r="Z28" s="1361">
        <f t="shared" si="52"/>
        <v>0</v>
      </c>
      <c r="AA28" s="1360">
        <f t="shared" si="52"/>
        <v>0</v>
      </c>
      <c r="AB28" s="1362">
        <f t="shared" si="52"/>
        <v>0</v>
      </c>
      <c r="AC28" s="112">
        <f t="shared" si="52"/>
        <v>211969466.77000001</v>
      </c>
      <c r="AD28" s="1366">
        <f t="shared" si="52"/>
        <v>20808169.59</v>
      </c>
      <c r="AE28" s="1360">
        <f t="shared" si="52"/>
        <v>4288396.5500000007</v>
      </c>
      <c r="AF28" s="1362">
        <f t="shared" si="52"/>
        <v>186872900.63000003</v>
      </c>
      <c r="AG28" s="115">
        <f t="shared" si="52"/>
        <v>169015648.21000001</v>
      </c>
      <c r="AH28" s="1366">
        <f t="shared" si="52"/>
        <v>8191471.8899999997</v>
      </c>
      <c r="AI28" s="1360">
        <f t="shared" si="52"/>
        <v>3430717.25</v>
      </c>
      <c r="AJ28" s="1362">
        <f t="shared" si="52"/>
        <v>157393459.07000002</v>
      </c>
      <c r="AK28" s="112">
        <f t="shared" si="52"/>
        <v>296336647.06</v>
      </c>
      <c r="AL28" s="1360">
        <f t="shared" si="52"/>
        <v>296336647.06</v>
      </c>
      <c r="AM28" s="1363">
        <f t="shared" si="52"/>
        <v>0</v>
      </c>
      <c r="AN28" s="1359">
        <f t="shared" si="52"/>
        <v>0</v>
      </c>
      <c r="AO28" s="115">
        <f t="shared" si="52"/>
        <v>138180933.74000001</v>
      </c>
      <c r="AP28" s="1360">
        <f t="shared" ref="AP28" si="53">SUM(AP10:AP27)</f>
        <v>138180933.74000001</v>
      </c>
      <c r="AQ28" s="1359">
        <f t="shared" si="52"/>
        <v>0</v>
      </c>
      <c r="AR28" s="1365">
        <f t="shared" si="52"/>
        <v>0</v>
      </c>
      <c r="AS28" s="112">
        <f t="shared" si="52"/>
        <v>0</v>
      </c>
      <c r="AT28" s="1359">
        <f t="shared" si="52"/>
        <v>0</v>
      </c>
      <c r="AU28" s="1360">
        <f t="shared" si="52"/>
        <v>0</v>
      </c>
      <c r="AV28" s="1361">
        <f t="shared" si="52"/>
        <v>0</v>
      </c>
      <c r="AW28" s="111">
        <f t="shared" si="52"/>
        <v>0</v>
      </c>
      <c r="AX28" s="1359">
        <f t="shared" si="52"/>
        <v>0</v>
      </c>
      <c r="AY28" s="1361">
        <f t="shared" si="52"/>
        <v>0</v>
      </c>
      <c r="AZ28" s="1360">
        <f t="shared" si="52"/>
        <v>0</v>
      </c>
      <c r="BA28" s="115">
        <f t="shared" si="52"/>
        <v>0</v>
      </c>
      <c r="BB28" s="1359">
        <f t="shared" si="52"/>
        <v>0</v>
      </c>
      <c r="BC28" s="1361">
        <f t="shared" si="52"/>
        <v>0</v>
      </c>
      <c r="BD28" s="1360">
        <f t="shared" si="52"/>
        <v>0</v>
      </c>
      <c r="BE28" s="111">
        <f t="shared" si="52"/>
        <v>0</v>
      </c>
      <c r="BF28" s="1359">
        <f t="shared" si="52"/>
        <v>0</v>
      </c>
      <c r="BG28" s="1360">
        <f t="shared" si="52"/>
        <v>0</v>
      </c>
      <c r="BH28" s="1361">
        <f t="shared" si="52"/>
        <v>0</v>
      </c>
      <c r="BI28" s="111">
        <f>SUM(BI10:BI27)</f>
        <v>5371400</v>
      </c>
      <c r="BJ28" s="1359">
        <f t="shared" ref="BJ28:BL28" si="54">SUM(BJ10:BJ27)</f>
        <v>5371400</v>
      </c>
      <c r="BK28" s="1360">
        <f t="shared" si="54"/>
        <v>0</v>
      </c>
      <c r="BL28" s="1361">
        <f t="shared" si="54"/>
        <v>0</v>
      </c>
      <c r="BM28" s="111">
        <f>SUM(BM10:BM27)</f>
        <v>2685699.99</v>
      </c>
      <c r="BN28" s="1359">
        <f t="shared" ref="BN28:EB28" si="55">SUM(BN10:BN27)</f>
        <v>2685699.99</v>
      </c>
      <c r="BO28" s="1360">
        <f t="shared" si="55"/>
        <v>0</v>
      </c>
      <c r="BP28" s="1361">
        <f t="shared" si="55"/>
        <v>0</v>
      </c>
      <c r="BQ28" s="111">
        <f t="shared" si="55"/>
        <v>4611300</v>
      </c>
      <c r="BR28" s="1359">
        <f t="shared" si="55"/>
        <v>4611300</v>
      </c>
      <c r="BS28" s="1360">
        <f t="shared" si="55"/>
        <v>0</v>
      </c>
      <c r="BT28" s="1361">
        <f t="shared" si="55"/>
        <v>0</v>
      </c>
      <c r="BU28" s="111">
        <f t="shared" si="55"/>
        <v>457273.29</v>
      </c>
      <c r="BV28" s="1359">
        <f t="shared" si="55"/>
        <v>457273.29</v>
      </c>
      <c r="BW28" s="1360">
        <f t="shared" si="55"/>
        <v>0</v>
      </c>
      <c r="BX28" s="1361">
        <f t="shared" si="55"/>
        <v>0</v>
      </c>
      <c r="BY28" s="112">
        <f t="shared" si="55"/>
        <v>0</v>
      </c>
      <c r="BZ28" s="1359">
        <f t="shared" si="55"/>
        <v>0</v>
      </c>
      <c r="CA28" s="1363">
        <f t="shared" si="55"/>
        <v>0</v>
      </c>
      <c r="CB28" s="1359">
        <f t="shared" si="55"/>
        <v>0</v>
      </c>
      <c r="CC28" s="1152">
        <f t="shared" si="55"/>
        <v>0</v>
      </c>
      <c r="CD28" s="1364">
        <f t="shared" si="55"/>
        <v>0</v>
      </c>
      <c r="CE28" s="1359">
        <f t="shared" si="55"/>
        <v>0</v>
      </c>
      <c r="CF28" s="1365">
        <f t="shared" si="55"/>
        <v>0</v>
      </c>
      <c r="CG28" s="112">
        <f t="shared" ref="CG28:CN28" si="56">SUM(CG10:CG27)</f>
        <v>20000000</v>
      </c>
      <c r="CH28" s="1360">
        <f t="shared" si="56"/>
        <v>20000000</v>
      </c>
      <c r="CI28" s="1361">
        <f t="shared" si="56"/>
        <v>0</v>
      </c>
      <c r="CJ28" s="1360">
        <f t="shared" si="56"/>
        <v>0</v>
      </c>
      <c r="CK28" s="115">
        <f t="shared" si="56"/>
        <v>0</v>
      </c>
      <c r="CL28" s="1360">
        <f t="shared" si="56"/>
        <v>0</v>
      </c>
      <c r="CM28" s="1361">
        <f t="shared" si="56"/>
        <v>0</v>
      </c>
      <c r="CN28" s="1360">
        <f t="shared" si="56"/>
        <v>0</v>
      </c>
      <c r="CO28" s="112">
        <f t="shared" si="55"/>
        <v>0</v>
      </c>
      <c r="CP28" s="1360">
        <f t="shared" si="55"/>
        <v>0</v>
      </c>
      <c r="CQ28" s="1361">
        <f t="shared" si="55"/>
        <v>0</v>
      </c>
      <c r="CR28" s="1360">
        <f t="shared" si="55"/>
        <v>0</v>
      </c>
      <c r="CS28" s="1152">
        <f t="shared" si="55"/>
        <v>0</v>
      </c>
      <c r="CT28" s="1366">
        <f t="shared" si="55"/>
        <v>0</v>
      </c>
      <c r="CU28" s="1360">
        <f t="shared" si="55"/>
        <v>0</v>
      </c>
      <c r="CV28" s="1361">
        <f t="shared" si="55"/>
        <v>0</v>
      </c>
      <c r="CW28" s="112">
        <f t="shared" si="55"/>
        <v>44645700</v>
      </c>
      <c r="CX28" s="1359">
        <f t="shared" si="55"/>
        <v>44645700</v>
      </c>
      <c r="CY28" s="1363">
        <f t="shared" si="55"/>
        <v>0</v>
      </c>
      <c r="CZ28" s="1359">
        <f t="shared" si="55"/>
        <v>0</v>
      </c>
      <c r="DA28" s="1152">
        <f t="shared" si="55"/>
        <v>44645700</v>
      </c>
      <c r="DB28" s="1364">
        <f t="shared" si="55"/>
        <v>44645700</v>
      </c>
      <c r="DC28" s="1359">
        <f t="shared" si="55"/>
        <v>0</v>
      </c>
      <c r="DD28" s="1365">
        <f t="shared" si="55"/>
        <v>0</v>
      </c>
      <c r="DE28" s="112">
        <f t="shared" si="55"/>
        <v>62343714.469999999</v>
      </c>
      <c r="DF28" s="1366">
        <f t="shared" si="55"/>
        <v>62343714.469999999</v>
      </c>
      <c r="DG28" s="1360">
        <f t="shared" si="55"/>
        <v>0</v>
      </c>
      <c r="DH28" s="1361">
        <f t="shared" si="55"/>
        <v>0</v>
      </c>
      <c r="DI28" s="111">
        <f t="shared" si="55"/>
        <v>17405719.52</v>
      </c>
      <c r="DJ28" s="1366">
        <f t="shared" ref="DJ28" si="57">SUM(DJ10:DJ27)</f>
        <v>17405719.52</v>
      </c>
      <c r="DK28" s="1360">
        <f t="shared" si="55"/>
        <v>0</v>
      </c>
      <c r="DL28" s="1361">
        <f t="shared" si="55"/>
        <v>0</v>
      </c>
      <c r="DM28" s="112">
        <f t="shared" si="55"/>
        <v>7879700</v>
      </c>
      <c r="DN28" s="1360">
        <f t="shared" si="55"/>
        <v>0</v>
      </c>
      <c r="DO28" s="1361">
        <f t="shared" si="55"/>
        <v>0</v>
      </c>
      <c r="DP28" s="1360">
        <f t="shared" si="55"/>
        <v>7879700</v>
      </c>
      <c r="DQ28" s="1152">
        <f t="shared" si="55"/>
        <v>0</v>
      </c>
      <c r="DR28" s="1366">
        <f t="shared" si="55"/>
        <v>0</v>
      </c>
      <c r="DS28" s="1360">
        <f t="shared" si="55"/>
        <v>0</v>
      </c>
      <c r="DT28" s="1361">
        <f t="shared" si="55"/>
        <v>0</v>
      </c>
      <c r="DU28" s="112">
        <f t="shared" si="55"/>
        <v>10550900</v>
      </c>
      <c r="DV28" s="1359">
        <f t="shared" si="55"/>
        <v>10550900</v>
      </c>
      <c r="DW28" s="1363">
        <f t="shared" si="55"/>
        <v>0</v>
      </c>
      <c r="DX28" s="1359">
        <f t="shared" si="55"/>
        <v>0</v>
      </c>
      <c r="DY28" s="1152">
        <f t="shared" si="55"/>
        <v>8036778.5099999998</v>
      </c>
      <c r="DZ28" s="1364">
        <f t="shared" si="55"/>
        <v>8036778.5099999998</v>
      </c>
      <c r="EA28" s="1359">
        <f t="shared" si="55"/>
        <v>0</v>
      </c>
      <c r="EB28" s="1363">
        <f t="shared" si="55"/>
        <v>0</v>
      </c>
      <c r="EC28" s="112">
        <f>SUM(EC10:EC27)</f>
        <v>3003700</v>
      </c>
      <c r="ED28" s="1366">
        <f t="shared" ref="ED28:EF28" si="58">SUM(ED10:ED27)</f>
        <v>0</v>
      </c>
      <c r="EE28" s="1360">
        <f t="shared" si="58"/>
        <v>3003700</v>
      </c>
      <c r="EF28" s="1362">
        <f t="shared" si="58"/>
        <v>0</v>
      </c>
      <c r="EG28" s="111">
        <f>SUM(EG10:EG27)</f>
        <v>1414273.3299999998</v>
      </c>
      <c r="EH28" s="1366">
        <f t="shared" ref="EH28:EJ28" si="59">SUM(EH10:EH27)</f>
        <v>0</v>
      </c>
      <c r="EI28" s="1360">
        <f t="shared" si="59"/>
        <v>1414273.3299999998</v>
      </c>
      <c r="EJ28" s="1361">
        <f t="shared" si="59"/>
        <v>0</v>
      </c>
      <c r="EK28" s="112">
        <f t="shared" ref="EK28:HA28" si="60">SUM(EK10:EK27)</f>
        <v>0</v>
      </c>
      <c r="EL28" s="1359">
        <f t="shared" si="60"/>
        <v>0</v>
      </c>
      <c r="EM28" s="1363">
        <f t="shared" si="60"/>
        <v>0</v>
      </c>
      <c r="EN28" s="1359">
        <f t="shared" si="60"/>
        <v>0</v>
      </c>
      <c r="EO28" s="1152">
        <f t="shared" si="60"/>
        <v>0</v>
      </c>
      <c r="EP28" s="1364">
        <f t="shared" si="60"/>
        <v>0</v>
      </c>
      <c r="EQ28" s="1359">
        <f t="shared" si="60"/>
        <v>0</v>
      </c>
      <c r="ER28" s="1359">
        <f t="shared" si="60"/>
        <v>0</v>
      </c>
      <c r="ES28" s="115">
        <f t="shared" si="60"/>
        <v>15837199.900000002</v>
      </c>
      <c r="ET28" s="1360">
        <f t="shared" si="60"/>
        <v>5495486.8199999994</v>
      </c>
      <c r="EU28" s="1361">
        <f t="shared" si="60"/>
        <v>8278015.5900000008</v>
      </c>
      <c r="EV28" s="1360">
        <f t="shared" si="60"/>
        <v>2063697.49</v>
      </c>
      <c r="EW28" s="115">
        <f t="shared" si="60"/>
        <v>13635713.570000002</v>
      </c>
      <c r="EX28" s="1360">
        <f t="shared" si="60"/>
        <v>4832249.3999999994</v>
      </c>
      <c r="EY28" s="1361">
        <f t="shared" si="60"/>
        <v>7536325.5200000005</v>
      </c>
      <c r="EZ28" s="1360">
        <f t="shared" si="60"/>
        <v>1267138.6499999999</v>
      </c>
      <c r="FA28" s="112">
        <f t="shared" si="60"/>
        <v>21705700</v>
      </c>
      <c r="FB28" s="1364">
        <f t="shared" si="60"/>
        <v>0</v>
      </c>
      <c r="FC28" s="1366">
        <f t="shared" si="60"/>
        <v>21705700</v>
      </c>
      <c r="FD28" s="1360">
        <f t="shared" si="60"/>
        <v>0</v>
      </c>
      <c r="FE28" s="1152">
        <f t="shared" si="60"/>
        <v>2592884.21</v>
      </c>
      <c r="FF28" s="1366">
        <f t="shared" si="60"/>
        <v>0</v>
      </c>
      <c r="FG28" s="1360">
        <f t="shared" si="60"/>
        <v>2592884.21</v>
      </c>
      <c r="FH28" s="1361">
        <f t="shared" si="60"/>
        <v>0</v>
      </c>
      <c r="FI28" s="112">
        <f t="shared" ref="FI28:FP28" si="61">SUM(FI10:FI27)</f>
        <v>35012200</v>
      </c>
      <c r="FJ28" s="1366">
        <f t="shared" si="61"/>
        <v>35012200</v>
      </c>
      <c r="FK28" s="1360">
        <f t="shared" si="61"/>
        <v>0</v>
      </c>
      <c r="FL28" s="1362">
        <f t="shared" si="61"/>
        <v>0</v>
      </c>
      <c r="FM28" s="1152">
        <f t="shared" si="61"/>
        <v>34883116.660000004</v>
      </c>
      <c r="FN28" s="1364">
        <f t="shared" si="61"/>
        <v>34883116.660000004</v>
      </c>
      <c r="FO28" s="1359">
        <f t="shared" si="61"/>
        <v>0</v>
      </c>
      <c r="FP28" s="1363">
        <f t="shared" si="61"/>
        <v>0</v>
      </c>
      <c r="FQ28" s="112">
        <f t="shared" ref="FQ28:FX28" si="62">SUM(FQ10:FQ27)</f>
        <v>0</v>
      </c>
      <c r="FR28" s="1360">
        <f t="shared" si="62"/>
        <v>0</v>
      </c>
      <c r="FS28" s="1361">
        <f t="shared" si="62"/>
        <v>0</v>
      </c>
      <c r="FT28" s="1360">
        <f t="shared" si="62"/>
        <v>0</v>
      </c>
      <c r="FU28" s="115">
        <f t="shared" si="62"/>
        <v>0</v>
      </c>
      <c r="FV28" s="1360">
        <f t="shared" si="62"/>
        <v>0</v>
      </c>
      <c r="FW28" s="1361">
        <f t="shared" si="62"/>
        <v>0</v>
      </c>
      <c r="FX28" s="1360">
        <f t="shared" si="62"/>
        <v>0</v>
      </c>
      <c r="FY28" s="112">
        <f>SUM(FY10:FY27)</f>
        <v>48645331.199999996</v>
      </c>
      <c r="FZ28" s="1366">
        <f t="shared" ref="FZ28:GB28" si="63">SUM(FZ10:FZ27)</f>
        <v>48645331.199999996</v>
      </c>
      <c r="GA28" s="1366">
        <f t="shared" si="63"/>
        <v>0</v>
      </c>
      <c r="GB28" s="1360">
        <f t="shared" si="63"/>
        <v>0</v>
      </c>
      <c r="GC28" s="115">
        <f>SUM(GC10:GC27)</f>
        <v>21057096.59</v>
      </c>
      <c r="GD28" s="1360">
        <f t="shared" ref="GD28" si="64">SUM(GD10:GD27)</f>
        <v>21057096.59</v>
      </c>
      <c r="GE28" s="1362">
        <f>SUM(GE10:GE27)</f>
        <v>0</v>
      </c>
      <c r="GF28" s="1363">
        <f>SUM(GF10:GF27)</f>
        <v>0</v>
      </c>
      <c r="GG28" s="112">
        <f t="shared" si="60"/>
        <v>190567200</v>
      </c>
      <c r="GH28" s="1359">
        <f t="shared" si="60"/>
        <v>190567200</v>
      </c>
      <c r="GI28" s="1363">
        <f t="shared" si="60"/>
        <v>0</v>
      </c>
      <c r="GJ28" s="1359">
        <f t="shared" si="60"/>
        <v>0</v>
      </c>
      <c r="GK28" s="115">
        <f t="shared" si="60"/>
        <v>150831310.75999999</v>
      </c>
      <c r="GL28" s="1359">
        <f t="shared" si="60"/>
        <v>150831310.75999999</v>
      </c>
      <c r="GM28" s="1363">
        <f t="shared" si="60"/>
        <v>0</v>
      </c>
      <c r="GN28" s="1359">
        <f t="shared" si="60"/>
        <v>0</v>
      </c>
      <c r="GO28" s="118">
        <f t="shared" si="60"/>
        <v>0</v>
      </c>
      <c r="GP28" s="1359">
        <f t="shared" si="60"/>
        <v>0</v>
      </c>
      <c r="GQ28" s="1363">
        <f t="shared" si="60"/>
        <v>0</v>
      </c>
      <c r="GR28" s="1359">
        <f t="shared" si="60"/>
        <v>0</v>
      </c>
      <c r="GS28" s="459">
        <f t="shared" si="60"/>
        <v>0</v>
      </c>
      <c r="GT28" s="1364">
        <f t="shared" si="60"/>
        <v>0</v>
      </c>
      <c r="GU28" s="1359">
        <f t="shared" si="60"/>
        <v>0</v>
      </c>
      <c r="GV28" s="1363">
        <f t="shared" si="60"/>
        <v>0</v>
      </c>
      <c r="GW28" s="112">
        <f t="shared" si="60"/>
        <v>97141482.170000002</v>
      </c>
      <c r="GX28" s="1366">
        <f t="shared" si="60"/>
        <v>0</v>
      </c>
      <c r="GY28" s="1360">
        <f t="shared" si="60"/>
        <v>0</v>
      </c>
      <c r="GZ28" s="1362">
        <f t="shared" si="60"/>
        <v>97141482.170000002</v>
      </c>
      <c r="HA28" s="1152">
        <f t="shared" si="60"/>
        <v>77417503.5</v>
      </c>
      <c r="HB28" s="1366">
        <f t="shared" ref="HB28:JH28" si="65">SUM(HB10:HB27)</f>
        <v>0</v>
      </c>
      <c r="HC28" s="1360">
        <f t="shared" si="65"/>
        <v>0</v>
      </c>
      <c r="HD28" s="1361">
        <f t="shared" si="65"/>
        <v>77417503.5</v>
      </c>
      <c r="HE28" s="112">
        <f t="shared" ref="HE28:HL28" si="66">SUM(HE10:HE27)</f>
        <v>28724600</v>
      </c>
      <c r="HF28" s="1366">
        <f t="shared" si="66"/>
        <v>0</v>
      </c>
      <c r="HG28" s="1360">
        <f t="shared" si="66"/>
        <v>28724600</v>
      </c>
      <c r="HH28" s="1362">
        <f t="shared" si="66"/>
        <v>0</v>
      </c>
      <c r="HI28" s="1152">
        <f t="shared" si="66"/>
        <v>11283835.609999999</v>
      </c>
      <c r="HJ28" s="1364">
        <f t="shared" si="66"/>
        <v>0</v>
      </c>
      <c r="HK28" s="1359">
        <f t="shared" si="66"/>
        <v>11283835.609999999</v>
      </c>
      <c r="HL28" s="1363">
        <f t="shared" si="66"/>
        <v>0</v>
      </c>
      <c r="HM28" s="112">
        <f t="shared" si="65"/>
        <v>19993600</v>
      </c>
      <c r="HN28" s="1366">
        <f t="shared" si="65"/>
        <v>0</v>
      </c>
      <c r="HO28" s="1360">
        <f t="shared" si="65"/>
        <v>19993600</v>
      </c>
      <c r="HP28" s="1362">
        <f t="shared" si="65"/>
        <v>0</v>
      </c>
      <c r="HQ28" s="1152">
        <f t="shared" si="65"/>
        <v>10734480.310000001</v>
      </c>
      <c r="HR28" s="1366">
        <f t="shared" ref="HR28:IJ28" si="67">SUM(HR10:HR27)</f>
        <v>0</v>
      </c>
      <c r="HS28" s="1360">
        <f t="shared" si="67"/>
        <v>10734480.310000001</v>
      </c>
      <c r="HT28" s="1362">
        <f t="shared" si="67"/>
        <v>0</v>
      </c>
      <c r="HU28" s="112">
        <f t="shared" si="67"/>
        <v>7601900</v>
      </c>
      <c r="HV28" s="1360">
        <f t="shared" si="67"/>
        <v>0</v>
      </c>
      <c r="HW28" s="1361">
        <f t="shared" si="67"/>
        <v>7601900</v>
      </c>
      <c r="HX28" s="1360">
        <f t="shared" si="67"/>
        <v>0</v>
      </c>
      <c r="HY28" s="115">
        <f t="shared" si="67"/>
        <v>0</v>
      </c>
      <c r="HZ28" s="1360">
        <f t="shared" ref="HZ28:IB28" si="68">SUM(HZ10:HZ27)</f>
        <v>0</v>
      </c>
      <c r="IA28" s="1361">
        <f t="shared" si="68"/>
        <v>0</v>
      </c>
      <c r="IB28" s="1360">
        <f t="shared" si="68"/>
        <v>0</v>
      </c>
      <c r="IC28" s="112">
        <f t="shared" si="67"/>
        <v>286389500</v>
      </c>
      <c r="ID28" s="1360">
        <f t="shared" si="67"/>
        <v>286389500</v>
      </c>
      <c r="IE28" s="1361">
        <f t="shared" si="67"/>
        <v>0</v>
      </c>
      <c r="IF28" s="1360">
        <f t="shared" si="67"/>
        <v>0</v>
      </c>
      <c r="IG28" s="115">
        <f t="shared" si="67"/>
        <v>25494204.719999999</v>
      </c>
      <c r="IH28" s="1360">
        <f t="shared" si="67"/>
        <v>25494204.719999999</v>
      </c>
      <c r="II28" s="1361">
        <f t="shared" si="67"/>
        <v>0</v>
      </c>
      <c r="IJ28" s="1360">
        <f t="shared" si="67"/>
        <v>0</v>
      </c>
      <c r="IK28" s="112">
        <f t="shared" ref="IK28:IR28" si="69">SUM(IK10:IK27)</f>
        <v>127736418</v>
      </c>
      <c r="IL28" s="1366">
        <f t="shared" si="69"/>
        <v>127736418</v>
      </c>
      <c r="IM28" s="1360">
        <f t="shared" si="69"/>
        <v>0</v>
      </c>
      <c r="IN28" s="1362">
        <f t="shared" si="69"/>
        <v>0</v>
      </c>
      <c r="IO28" s="1152">
        <f t="shared" si="69"/>
        <v>82876932.230000004</v>
      </c>
      <c r="IP28" s="1366">
        <f t="shared" si="69"/>
        <v>82876932.230000004</v>
      </c>
      <c r="IQ28" s="1360">
        <f t="shared" si="69"/>
        <v>0</v>
      </c>
      <c r="IR28" s="1362">
        <f t="shared" si="69"/>
        <v>0</v>
      </c>
      <c r="IS28" s="112">
        <f t="shared" si="65"/>
        <v>0</v>
      </c>
      <c r="IT28" s="1359">
        <f t="shared" si="65"/>
        <v>0</v>
      </c>
      <c r="IU28" s="1363">
        <f t="shared" si="65"/>
        <v>0</v>
      </c>
      <c r="IV28" s="1359">
        <f t="shared" si="65"/>
        <v>0</v>
      </c>
      <c r="IW28" s="1152">
        <f t="shared" si="65"/>
        <v>0</v>
      </c>
      <c r="IX28" s="1364">
        <f t="shared" si="65"/>
        <v>0</v>
      </c>
      <c r="IY28" s="1359">
        <f t="shared" si="65"/>
        <v>0</v>
      </c>
      <c r="IZ28" s="1363">
        <f t="shared" si="65"/>
        <v>0</v>
      </c>
      <c r="JA28" s="112">
        <f t="shared" si="65"/>
        <v>0</v>
      </c>
      <c r="JB28" s="1359">
        <f t="shared" si="65"/>
        <v>0</v>
      </c>
      <c r="JC28" s="1363">
        <f t="shared" si="65"/>
        <v>0</v>
      </c>
      <c r="JD28" s="1359">
        <f t="shared" si="65"/>
        <v>0</v>
      </c>
      <c r="JE28" s="1152">
        <f t="shared" si="65"/>
        <v>0</v>
      </c>
      <c r="JF28" s="1364">
        <f t="shared" si="65"/>
        <v>0</v>
      </c>
      <c r="JG28" s="1359">
        <f t="shared" si="65"/>
        <v>0</v>
      </c>
      <c r="JH28" s="1363">
        <f t="shared" si="65"/>
        <v>0</v>
      </c>
      <c r="JI28" s="112">
        <f t="shared" ref="JI28:JP28" si="70">SUM(JI10:JI27)</f>
        <v>39920400</v>
      </c>
      <c r="JJ28" s="1360">
        <f t="shared" si="70"/>
        <v>31067560</v>
      </c>
      <c r="JK28" s="1361">
        <f t="shared" si="70"/>
        <v>8852840</v>
      </c>
      <c r="JL28" s="1360">
        <f t="shared" si="70"/>
        <v>0</v>
      </c>
      <c r="JM28" s="115">
        <f t="shared" si="70"/>
        <v>0</v>
      </c>
      <c r="JN28" s="1360">
        <f t="shared" si="70"/>
        <v>0</v>
      </c>
      <c r="JO28" s="1361">
        <f t="shared" si="70"/>
        <v>0</v>
      </c>
      <c r="JP28" s="1360">
        <f t="shared" si="70"/>
        <v>0</v>
      </c>
    </row>
    <row r="29" spans="1:276" ht="25.5" customHeight="1" x14ac:dyDescent="0.25">
      <c r="A29" s="105"/>
      <c r="B29" s="161"/>
      <c r="C29" s="1367"/>
      <c r="D29" s="1367"/>
      <c r="E29" s="1367"/>
      <c r="F29" s="161"/>
      <c r="G29" s="1367"/>
      <c r="H29" s="1367"/>
      <c r="I29" s="1367"/>
      <c r="J29" s="105"/>
      <c r="K29" s="1330">
        <f>M29-'Федеральные  средства  по  МО'!D30</f>
        <v>0</v>
      </c>
      <c r="L29" s="1330">
        <f>Q29-'Федеральные  средства  по  МО'!E30</f>
        <v>0</v>
      </c>
      <c r="M29" s="161"/>
      <c r="N29" s="1367"/>
      <c r="O29" s="1367"/>
      <c r="P29" s="1367"/>
      <c r="Q29" s="161"/>
      <c r="R29" s="1367"/>
      <c r="S29" s="1367"/>
      <c r="T29" s="1367"/>
      <c r="U29" s="204"/>
      <c r="V29" s="1368"/>
      <c r="W29" s="1369"/>
      <c r="X29" s="1368"/>
      <c r="Y29" s="120"/>
      <c r="Z29" s="1369"/>
      <c r="AA29" s="1368"/>
      <c r="AB29" s="1370"/>
      <c r="AC29" s="204"/>
      <c r="AD29" s="1371"/>
      <c r="AE29" s="1368"/>
      <c r="AF29" s="1369"/>
      <c r="AG29" s="120"/>
      <c r="AH29" s="1371"/>
      <c r="AI29" s="1368"/>
      <c r="AJ29" s="1370"/>
      <c r="AK29" s="204"/>
      <c r="AL29" s="1371"/>
      <c r="AM29" s="1368"/>
      <c r="AN29" s="1369"/>
      <c r="AO29" s="120"/>
      <c r="AP29" s="1371"/>
      <c r="AQ29" s="1368"/>
      <c r="AR29" s="1370"/>
      <c r="AS29" s="671"/>
      <c r="AT29" s="1372"/>
      <c r="AU29" s="1372"/>
      <c r="AV29" s="1373"/>
      <c r="AW29" s="117"/>
      <c r="AX29" s="1372"/>
      <c r="AY29" s="1373"/>
      <c r="AZ29" s="1372"/>
      <c r="BA29" s="1374"/>
      <c r="BB29" s="1372"/>
      <c r="BC29" s="1373"/>
      <c r="BD29" s="1372"/>
      <c r="BE29" s="117"/>
      <c r="BF29" s="1372"/>
      <c r="BG29" s="1368"/>
      <c r="BH29" s="1369"/>
      <c r="BI29" s="120"/>
      <c r="BJ29" s="1372"/>
      <c r="BK29" s="1368"/>
      <c r="BL29" s="1369"/>
      <c r="BM29" s="791"/>
      <c r="BN29" s="1372"/>
      <c r="BO29" s="1368"/>
      <c r="BP29" s="1369"/>
      <c r="BQ29" s="671"/>
      <c r="BR29" s="1372"/>
      <c r="BS29" s="1372"/>
      <c r="BT29" s="1373"/>
      <c r="BU29" s="117"/>
      <c r="BV29" s="1372"/>
      <c r="BW29" s="1368"/>
      <c r="BX29" s="1369"/>
      <c r="BY29" s="671"/>
      <c r="BZ29" s="1372"/>
      <c r="CA29" s="1373"/>
      <c r="CB29" s="1372"/>
      <c r="CC29" s="1375"/>
      <c r="CD29" s="1371"/>
      <c r="CE29" s="1368"/>
      <c r="CF29" s="1369"/>
      <c r="CG29" s="671"/>
      <c r="CH29" s="1372"/>
      <c r="CI29" s="1373"/>
      <c r="CJ29" s="1372"/>
      <c r="CK29" s="124"/>
      <c r="CL29" s="1368"/>
      <c r="CM29" s="1369"/>
      <c r="CN29" s="1368"/>
      <c r="CO29" s="671"/>
      <c r="CP29" s="1376"/>
      <c r="CQ29" s="1372"/>
      <c r="CR29" s="1373"/>
      <c r="CS29" s="117"/>
      <c r="CT29" s="1371"/>
      <c r="CU29" s="1368"/>
      <c r="CV29" s="1369"/>
      <c r="CW29" s="671"/>
      <c r="CX29" s="1376"/>
      <c r="CY29" s="1372"/>
      <c r="CZ29" s="1373"/>
      <c r="DA29" s="117"/>
      <c r="DB29" s="1371"/>
      <c r="DC29" s="1368"/>
      <c r="DD29" s="1369"/>
      <c r="DE29" s="671"/>
      <c r="DF29" s="1376"/>
      <c r="DG29" s="1372"/>
      <c r="DH29" s="1373"/>
      <c r="DI29" s="117"/>
      <c r="DJ29" s="1376"/>
      <c r="DK29" s="1368"/>
      <c r="DL29" s="1369"/>
      <c r="DM29" s="671"/>
      <c r="DN29" s="1376"/>
      <c r="DO29" s="1372"/>
      <c r="DP29" s="1373"/>
      <c r="DQ29" s="117"/>
      <c r="DR29" s="1371"/>
      <c r="DS29" s="1368"/>
      <c r="DT29" s="1369"/>
      <c r="DU29" s="671"/>
      <c r="DV29" s="1376"/>
      <c r="DW29" s="1372"/>
      <c r="DX29" s="1373"/>
      <c r="DY29" s="117"/>
      <c r="DZ29" s="1371"/>
      <c r="EA29" s="1368"/>
      <c r="EB29" s="1369"/>
      <c r="EC29" s="671"/>
      <c r="ED29" s="1376"/>
      <c r="EE29" s="1372"/>
      <c r="EF29" s="1373"/>
      <c r="EG29" s="117"/>
      <c r="EH29" s="1371"/>
      <c r="EI29" s="1368"/>
      <c r="EJ29" s="1369"/>
      <c r="EK29" s="120"/>
      <c r="EL29" s="1371"/>
      <c r="EM29" s="1368"/>
      <c r="EN29" s="1369"/>
      <c r="EO29" s="119"/>
      <c r="EP29" s="1371"/>
      <c r="EQ29" s="1368"/>
      <c r="ER29" s="1368"/>
      <c r="ES29" s="1374"/>
      <c r="ET29" s="1372"/>
      <c r="EU29" s="1373"/>
      <c r="EV29" s="1372"/>
      <c r="EW29" s="124"/>
      <c r="EX29" s="1368"/>
      <c r="EY29" s="1369"/>
      <c r="EZ29" s="1368"/>
      <c r="FA29" s="671"/>
      <c r="FB29" s="1376"/>
      <c r="FC29" s="1372"/>
      <c r="FD29" s="1373"/>
      <c r="FE29" s="117"/>
      <c r="FF29" s="1371"/>
      <c r="FG29" s="1368"/>
      <c r="FH29" s="1369"/>
      <c r="FI29" s="671"/>
      <c r="FJ29" s="1376"/>
      <c r="FK29" s="1372"/>
      <c r="FL29" s="1373"/>
      <c r="FM29" s="117"/>
      <c r="FN29" s="1371"/>
      <c r="FO29" s="1368"/>
      <c r="FP29" s="1369"/>
      <c r="FQ29" s="671"/>
      <c r="FR29" s="1376"/>
      <c r="FS29" s="1372"/>
      <c r="FT29" s="1373"/>
      <c r="FU29" s="117"/>
      <c r="FV29" s="1371"/>
      <c r="FW29" s="1371"/>
      <c r="FX29" s="1368"/>
      <c r="FY29" s="671"/>
      <c r="FZ29" s="1376"/>
      <c r="GA29" s="1372"/>
      <c r="GB29" s="1373"/>
      <c r="GC29" s="117"/>
      <c r="GD29" s="1372"/>
      <c r="GE29" s="1370"/>
      <c r="GF29" s="1369"/>
      <c r="GG29" s="671"/>
      <c r="GH29" s="1376"/>
      <c r="GI29" s="1372"/>
      <c r="GJ29" s="1373"/>
      <c r="GK29" s="790"/>
      <c r="GL29" s="1372"/>
      <c r="GM29" s="1373"/>
      <c r="GN29" s="1372"/>
      <c r="GO29" s="1374"/>
      <c r="GP29" s="1372"/>
      <c r="GQ29" s="1373"/>
      <c r="GR29" s="1372"/>
      <c r="GS29" s="1375"/>
      <c r="GT29" s="1371"/>
      <c r="GU29" s="1368"/>
      <c r="GV29" s="1369"/>
      <c r="GW29" s="671"/>
      <c r="GX29" s="1376"/>
      <c r="GY29" s="1372"/>
      <c r="GZ29" s="1373"/>
      <c r="HA29" s="117"/>
      <c r="HB29" s="1371"/>
      <c r="HC29" s="1368"/>
      <c r="HD29" s="1369"/>
      <c r="HE29" s="204"/>
      <c r="HF29" s="1368"/>
      <c r="HG29" s="1369"/>
      <c r="HH29" s="1368"/>
      <c r="HI29" s="1377"/>
      <c r="HJ29" s="1371"/>
      <c r="HK29" s="1368"/>
      <c r="HL29" s="1369"/>
      <c r="HM29" s="113"/>
      <c r="HN29" s="1376"/>
      <c r="HO29" s="1372"/>
      <c r="HP29" s="1373"/>
      <c r="HQ29" s="117"/>
      <c r="HR29" s="1371"/>
      <c r="HS29" s="1368"/>
      <c r="HT29" s="1369"/>
      <c r="HU29" s="113"/>
      <c r="HV29" s="1376"/>
      <c r="HW29" s="1372"/>
      <c r="HX29" s="1373"/>
      <c r="HY29" s="117"/>
      <c r="HZ29" s="1371"/>
      <c r="IA29" s="1368"/>
      <c r="IB29" s="1369"/>
      <c r="IC29" s="204"/>
      <c r="ID29" s="1368"/>
      <c r="IE29" s="1369"/>
      <c r="IF29" s="1368"/>
      <c r="IG29" s="1473"/>
      <c r="IH29" s="1368"/>
      <c r="II29" s="1369"/>
      <c r="IJ29" s="1368"/>
      <c r="IK29" s="204"/>
      <c r="IL29" s="1371"/>
      <c r="IM29" s="1368"/>
      <c r="IN29" s="1369"/>
      <c r="IO29" s="119"/>
      <c r="IP29" s="1371"/>
      <c r="IQ29" s="1368"/>
      <c r="IR29" s="1369"/>
      <c r="IS29" s="113"/>
      <c r="IT29" s="1376"/>
      <c r="IU29" s="1372"/>
      <c r="IV29" s="1373"/>
      <c r="IW29" s="117"/>
      <c r="IX29" s="1371"/>
      <c r="IY29" s="1368"/>
      <c r="IZ29" s="1369"/>
      <c r="JA29" s="204"/>
      <c r="JB29" s="1368"/>
      <c r="JC29" s="1369"/>
      <c r="JD29" s="1368"/>
      <c r="JE29" s="1377"/>
      <c r="JF29" s="1371"/>
      <c r="JG29" s="1368"/>
      <c r="JH29" s="1369"/>
      <c r="JI29" s="204"/>
      <c r="JJ29" s="1368"/>
      <c r="JK29" s="1369"/>
      <c r="JL29" s="1368"/>
      <c r="JM29" s="1377"/>
      <c r="JN29" s="1371"/>
      <c r="JO29" s="1371"/>
      <c r="JP29" s="1368"/>
    </row>
    <row r="30" spans="1:276" ht="25.5" customHeight="1" x14ac:dyDescent="0.25">
      <c r="A30" s="102" t="s">
        <v>5</v>
      </c>
      <c r="B30" s="101">
        <f>SUM(C30:E30)</f>
        <v>49833800</v>
      </c>
      <c r="C30" s="1345">
        <f t="shared" ref="C30:E31" si="71">N30-AD30-V30</f>
        <v>49833800</v>
      </c>
      <c r="D30" s="1345">
        <f t="shared" si="71"/>
        <v>0</v>
      </c>
      <c r="E30" s="1345">
        <f t="shared" si="71"/>
        <v>0</v>
      </c>
      <c r="F30" s="101">
        <f>SUM(G30:I30)</f>
        <v>34284804.629999995</v>
      </c>
      <c r="G30" s="1345">
        <f t="shared" ref="G30:I31" si="72">R30-AH30-Z30</f>
        <v>34284804.629999995</v>
      </c>
      <c r="H30" s="1345">
        <f t="shared" si="72"/>
        <v>0</v>
      </c>
      <c r="I30" s="1345">
        <f t="shared" si="72"/>
        <v>0</v>
      </c>
      <c r="J30" s="105"/>
      <c r="K30" s="1330">
        <f>M30-'Федеральные  средства  по  МО'!D31</f>
        <v>0</v>
      </c>
      <c r="L30" s="1330">
        <f>Q30-'Федеральные  средства  по  МО'!E31</f>
        <v>0</v>
      </c>
      <c r="M30" s="278">
        <f t="shared" ref="M30:T31" si="73">U30+AC30+AK30+AS30+BA30+BI30+BQ30+BY30+CO30+CW30+DE30+DM30+DU30+EC30+FY30+EK30+ES30+FA30+GG30+GO30+GW30+HM30+IS30+HE30+JA30+IK30+FI30+IC30+CG30+HU30+JI30+FQ30</f>
        <v>74966389.159999996</v>
      </c>
      <c r="N30" s="1329">
        <f t="shared" si="73"/>
        <v>74966389.159999996</v>
      </c>
      <c r="O30" s="1329">
        <f t="shared" si="73"/>
        <v>0</v>
      </c>
      <c r="P30" s="1329">
        <f t="shared" si="73"/>
        <v>0</v>
      </c>
      <c r="Q30" s="278">
        <f t="shared" si="73"/>
        <v>56829786.469999999</v>
      </c>
      <c r="R30" s="1329">
        <f t="shared" si="73"/>
        <v>56829786.469999999</v>
      </c>
      <c r="S30" s="1329">
        <f t="shared" si="73"/>
        <v>0</v>
      </c>
      <c r="T30" s="1329">
        <f t="shared" si="73"/>
        <v>0</v>
      </c>
      <c r="U30" s="103"/>
      <c r="V30" s="1345"/>
      <c r="W30" s="1346"/>
      <c r="X30" s="1345"/>
      <c r="Y30" s="101"/>
      <c r="Z30" s="1346"/>
      <c r="AA30" s="1345"/>
      <c r="AB30" s="1347"/>
      <c r="AC30" s="101">
        <f>'Федеральные  средства  по  МО'!F31</f>
        <v>25132589.16</v>
      </c>
      <c r="AD30" s="1348">
        <f>AC30</f>
        <v>25132589.16</v>
      </c>
      <c r="AE30" s="1345"/>
      <c r="AF30" s="1347"/>
      <c r="AG30" s="101">
        <f>'Федеральные  средства  по  МО'!G31</f>
        <v>22544981.84</v>
      </c>
      <c r="AH30" s="1348">
        <f>AG30</f>
        <v>22544981.84</v>
      </c>
      <c r="AI30" s="1345"/>
      <c r="AJ30" s="1347"/>
      <c r="AK30" s="101">
        <f>'Федеральные  средства  по  МО'!H31</f>
        <v>0</v>
      </c>
      <c r="AL30" s="1345">
        <f>AK30</f>
        <v>0</v>
      </c>
      <c r="AM30" s="1346"/>
      <c r="AN30" s="1348"/>
      <c r="AO30" s="101">
        <f>'Федеральные  средства  по  МО'!I31</f>
        <v>0</v>
      </c>
      <c r="AP30" s="1345">
        <f>AO30</f>
        <v>0</v>
      </c>
      <c r="AQ30" s="1345"/>
      <c r="AR30" s="1347"/>
      <c r="AS30" s="101">
        <f>'Федеральные  средства  по  МО'!J31</f>
        <v>0</v>
      </c>
      <c r="AT30" s="1345">
        <f>AS30</f>
        <v>0</v>
      </c>
      <c r="AU30" s="1345"/>
      <c r="AV30" s="1346"/>
      <c r="AW30" s="101">
        <f>'Федеральные  средства  по  МО'!K31</f>
        <v>0</v>
      </c>
      <c r="AX30" s="1345">
        <f>AW30</f>
        <v>0</v>
      </c>
      <c r="AY30" s="1346"/>
      <c r="AZ30" s="1345"/>
      <c r="BA30" s="101">
        <f>'Федеральные  средства  по  МО'!L31</f>
        <v>0</v>
      </c>
      <c r="BB30" s="1345">
        <f>BA30</f>
        <v>0</v>
      </c>
      <c r="BC30" s="1346"/>
      <c r="BD30" s="1345"/>
      <c r="BE30" s="101">
        <f>'Федеральные  средства  по  МО'!M31</f>
        <v>0</v>
      </c>
      <c r="BF30" s="1345">
        <f>BE30</f>
        <v>0</v>
      </c>
      <c r="BG30" s="1345"/>
      <c r="BH30" s="1347"/>
      <c r="BI30" s="101">
        <f>'Федеральные  средства  по  МО'!N31</f>
        <v>0</v>
      </c>
      <c r="BJ30" s="1347">
        <f t="shared" ref="BJ30:BJ31" si="74">BI30</f>
        <v>0</v>
      </c>
      <c r="BK30" s="1345"/>
      <c r="BL30" s="1346"/>
      <c r="BM30" s="101">
        <f>'Федеральные  средства  по  МО'!O31</f>
        <v>0</v>
      </c>
      <c r="BN30" s="1345">
        <f>BM30</f>
        <v>0</v>
      </c>
      <c r="BO30" s="1345"/>
      <c r="BP30" s="1347"/>
      <c r="BQ30" s="101">
        <f>'Федеральные  средства  по  МО'!P31</f>
        <v>0</v>
      </c>
      <c r="BR30" s="1347">
        <f t="shared" ref="BR30:BR31" si="75">BQ30</f>
        <v>0</v>
      </c>
      <c r="BS30" s="1345"/>
      <c r="BT30" s="1346"/>
      <c r="BU30" s="101">
        <f>'Федеральные  средства  по  МО'!Q31</f>
        <v>0</v>
      </c>
      <c r="BV30" s="1345">
        <f>BU30</f>
        <v>0</v>
      </c>
      <c r="BW30" s="1345"/>
      <c r="BX30" s="1347"/>
      <c r="BY30" s="101">
        <f>'Федеральные  средства  по  МО'!R31</f>
        <v>0</v>
      </c>
      <c r="BZ30" s="1347">
        <f t="shared" ref="BZ30:BZ31" si="76">BY30</f>
        <v>0</v>
      </c>
      <c r="CA30" s="1346"/>
      <c r="CB30" s="1348"/>
      <c r="CC30" s="101">
        <f>'Федеральные  средства  по  МО'!S31</f>
        <v>0</v>
      </c>
      <c r="CD30" s="1345">
        <f>CC30</f>
        <v>0</v>
      </c>
      <c r="CE30" s="1345"/>
      <c r="CF30" s="1347"/>
      <c r="CG30" s="103">
        <f>'Федеральные  средства  по  МО'!T31</f>
        <v>0</v>
      </c>
      <c r="CH30" s="1345">
        <f t="shared" ref="CH30:CH31" si="77">CG30</f>
        <v>0</v>
      </c>
      <c r="CI30" s="1346"/>
      <c r="CJ30" s="1345"/>
      <c r="CK30" s="104">
        <f>'Федеральные  средства  по  МО'!U31</f>
        <v>0</v>
      </c>
      <c r="CL30" s="1345">
        <f t="shared" ref="CL30:CL31" si="78">CK30</f>
        <v>0</v>
      </c>
      <c r="CM30" s="1346"/>
      <c r="CN30" s="1345"/>
      <c r="CO30" s="101">
        <f>'Федеральные  средства  по  МО'!V31</f>
        <v>0</v>
      </c>
      <c r="CP30" s="1347">
        <f>CO30</f>
        <v>0</v>
      </c>
      <c r="CQ30" s="1346"/>
      <c r="CR30" s="1348"/>
      <c r="CS30" s="101">
        <f>'Федеральные  средства  по  МО'!W31</f>
        <v>0</v>
      </c>
      <c r="CT30" s="1345">
        <f>CS30</f>
        <v>0</v>
      </c>
      <c r="CU30" s="1345"/>
      <c r="CV30" s="1347"/>
      <c r="CW30" s="101">
        <f>'Федеральные  средства  по  МО'!X31</f>
        <v>0</v>
      </c>
      <c r="CX30" s="1347">
        <f t="shared" ref="CX30:CX31" si="79">CW30</f>
        <v>0</v>
      </c>
      <c r="CY30" s="1346"/>
      <c r="CZ30" s="1348"/>
      <c r="DA30" s="101">
        <f>'Федеральные  средства  по  МО'!Y31</f>
        <v>0</v>
      </c>
      <c r="DB30" s="1345">
        <f>DA30</f>
        <v>0</v>
      </c>
      <c r="DC30" s="1345"/>
      <c r="DD30" s="1347"/>
      <c r="DE30" s="101">
        <f>'Федеральные  средства  по  МО'!Z31</f>
        <v>0</v>
      </c>
      <c r="DF30" s="1345">
        <f t="shared" ref="DF30:DF31" si="80">DE30</f>
        <v>0</v>
      </c>
      <c r="DG30" s="1345"/>
      <c r="DH30" s="1346"/>
      <c r="DI30" s="101">
        <f>'Федеральные  средства  по  МО'!AA31</f>
        <v>0</v>
      </c>
      <c r="DJ30" s="1345">
        <f t="shared" ref="DJ30:DJ31" si="81">DI30</f>
        <v>0</v>
      </c>
      <c r="DK30" s="1345"/>
      <c r="DL30" s="1347"/>
      <c r="DM30" s="101">
        <f>'Федеральные  средства  по  МО'!AB31</f>
        <v>0</v>
      </c>
      <c r="DN30" s="1345">
        <f>DM30</f>
        <v>0</v>
      </c>
      <c r="DO30" s="1345"/>
      <c r="DP30" s="1346"/>
      <c r="DQ30" s="101">
        <f>'Федеральные  средства  по  МО'!AC31</f>
        <v>0</v>
      </c>
      <c r="DR30" s="1345">
        <f>DQ30</f>
        <v>0</v>
      </c>
      <c r="DS30" s="1345"/>
      <c r="DT30" s="1347"/>
      <c r="DU30" s="101">
        <f>'Федеральные  средства  по  МО'!AD31</f>
        <v>0</v>
      </c>
      <c r="DV30" s="1347">
        <f t="shared" ref="DV30:DV31" si="82">DU30</f>
        <v>0</v>
      </c>
      <c r="DW30" s="1346"/>
      <c r="DX30" s="1348"/>
      <c r="DY30" s="101">
        <f>'Федеральные  средства  по  МО'!AE31</f>
        <v>0</v>
      </c>
      <c r="DZ30" s="1345">
        <f>DY30</f>
        <v>0</v>
      </c>
      <c r="EA30" s="1345"/>
      <c r="EB30" s="1347"/>
      <c r="EC30" s="101">
        <f>'Федеральные  средства  по  МО'!AH31</f>
        <v>0</v>
      </c>
      <c r="ED30" s="1345">
        <f>EC30</f>
        <v>0</v>
      </c>
      <c r="EE30" s="1345"/>
      <c r="EF30" s="1346"/>
      <c r="EG30" s="101">
        <f>'Федеральные  средства  по  МО'!AI31</f>
        <v>0</v>
      </c>
      <c r="EH30" s="1345">
        <f>EG30</f>
        <v>0</v>
      </c>
      <c r="EI30" s="1345"/>
      <c r="EJ30" s="1347"/>
      <c r="EK30" s="101">
        <f>'Федеральные  средства  по  МО'!AJ31</f>
        <v>2692900</v>
      </c>
      <c r="EL30" s="1345">
        <f>EK30</f>
        <v>2692900</v>
      </c>
      <c r="EM30" s="1346"/>
      <c r="EN30" s="1345"/>
      <c r="EO30" s="101">
        <f>'Федеральные  средства  по  МО'!AK31</f>
        <v>2692900</v>
      </c>
      <c r="EP30" s="1345">
        <f>EO30</f>
        <v>2692900</v>
      </c>
      <c r="EQ30" s="1345"/>
      <c r="ER30" s="1345"/>
      <c r="ES30" s="101">
        <f>'Федеральные  средства  по  МО'!AL31</f>
        <v>0</v>
      </c>
      <c r="ET30" s="1345">
        <f>ES30</f>
        <v>0</v>
      </c>
      <c r="EU30" s="1346"/>
      <c r="EV30" s="1345"/>
      <c r="EW30" s="104">
        <f>'Федеральные  средства  по  МО'!AM31</f>
        <v>0</v>
      </c>
      <c r="EX30" s="1345">
        <f>EW30</f>
        <v>0</v>
      </c>
      <c r="EY30" s="1346"/>
      <c r="EZ30" s="1345"/>
      <c r="FA30" s="101">
        <f>'Федеральные  средства  по  МО'!AN31</f>
        <v>0</v>
      </c>
      <c r="FB30" s="1345">
        <f>FA30</f>
        <v>0</v>
      </c>
      <c r="FC30" s="1345"/>
      <c r="FD30" s="1347"/>
      <c r="FE30" s="101">
        <f>'Федеральные  средства  по  МО'!AO31</f>
        <v>0</v>
      </c>
      <c r="FF30" s="1345">
        <f>FE30</f>
        <v>0</v>
      </c>
      <c r="FG30" s="1345"/>
      <c r="FH30" s="1347"/>
      <c r="FI30" s="101">
        <f>'Федеральные  средства  по  МО'!AP31</f>
        <v>0</v>
      </c>
      <c r="FJ30" s="1345">
        <f>FI30</f>
        <v>0</v>
      </c>
      <c r="FK30" s="1345"/>
      <c r="FL30" s="1347"/>
      <c r="FM30" s="101">
        <f>'Федеральные  средства  по  МО'!AQ31</f>
        <v>0</v>
      </c>
      <c r="FN30" s="1345">
        <f>FM30</f>
        <v>0</v>
      </c>
      <c r="FO30" s="1345"/>
      <c r="FP30" s="1347"/>
      <c r="FQ30" s="103">
        <f>'Федеральные  средства  по  МО'!AT31</f>
        <v>0</v>
      </c>
      <c r="FR30" s="1345">
        <f>FQ30</f>
        <v>0</v>
      </c>
      <c r="FS30" s="1345"/>
      <c r="FT30" s="1347"/>
      <c r="FU30" s="104">
        <f>'Федеральные  средства  по  МО'!AU31</f>
        <v>0</v>
      </c>
      <c r="FV30" s="1345">
        <f>FU30</f>
        <v>0</v>
      </c>
      <c r="FW30" s="1348"/>
      <c r="FX30" s="1345"/>
      <c r="FY30" s="101">
        <f>'Федеральные  средства  по  МО'!AR31</f>
        <v>0</v>
      </c>
      <c r="FZ30" s="1345">
        <f t="shared" ref="FZ30:FZ31" si="83">FY30</f>
        <v>0</v>
      </c>
      <c r="GA30" s="1348"/>
      <c r="GB30" s="1348"/>
      <c r="GC30" s="101">
        <f>'Федеральные  средства  по  МО'!AS31</f>
        <v>0</v>
      </c>
      <c r="GD30" s="1345">
        <f t="shared" ref="GD30:GD31" si="84">GC30</f>
        <v>0</v>
      </c>
      <c r="GE30" s="1347"/>
      <c r="GF30" s="1347"/>
      <c r="GG30" s="101">
        <f>'Федеральные  средства  по  МО'!AV31</f>
        <v>0</v>
      </c>
      <c r="GH30" s="1345">
        <f>GG30</f>
        <v>0</v>
      </c>
      <c r="GI30" s="1345"/>
      <c r="GJ30" s="1347"/>
      <c r="GK30" s="101">
        <f>'Федеральные  средства  по  МО'!AW31</f>
        <v>0</v>
      </c>
      <c r="GL30" s="1345">
        <f>GK30</f>
        <v>0</v>
      </c>
      <c r="GM30" s="1346"/>
      <c r="GN30" s="1345"/>
      <c r="GO30" s="104"/>
      <c r="GP30" s="1345">
        <f>GO30</f>
        <v>0</v>
      </c>
      <c r="GQ30" s="1346"/>
      <c r="GR30" s="1345"/>
      <c r="GS30" s="100"/>
      <c r="GT30" s="1345">
        <f>GS30</f>
        <v>0</v>
      </c>
      <c r="GU30" s="1345"/>
      <c r="GV30" s="1347"/>
      <c r="GW30" s="101">
        <f>'Федеральные  средства  по  МО'!AX31</f>
        <v>47140900</v>
      </c>
      <c r="GX30" s="1345">
        <f>GW30</f>
        <v>47140900</v>
      </c>
      <c r="GY30" s="1345"/>
      <c r="GZ30" s="1347"/>
      <c r="HA30" s="101">
        <f>'Федеральные  средства  по  МО'!AY31</f>
        <v>31591904.629999999</v>
      </c>
      <c r="HB30" s="1345">
        <f>HA30</f>
        <v>31591904.629999999</v>
      </c>
      <c r="HC30" s="1345"/>
      <c r="HD30" s="1346"/>
      <c r="HE30" s="101">
        <f>'Федеральные  средства  по  МО'!BD31</f>
        <v>0</v>
      </c>
      <c r="HF30" s="1345">
        <f>HE30</f>
        <v>0</v>
      </c>
      <c r="HG30" s="1346"/>
      <c r="HH30" s="1345"/>
      <c r="HI30" s="101">
        <f>'Федеральные  средства  по  МО'!BE31</f>
        <v>0</v>
      </c>
      <c r="HJ30" s="1345">
        <f>HI30</f>
        <v>0</v>
      </c>
      <c r="HK30" s="1345"/>
      <c r="HL30" s="1347"/>
      <c r="HM30" s="101">
        <f>'Федеральные  средства  по  МО'!AZ31</f>
        <v>0</v>
      </c>
      <c r="HN30" s="1345">
        <f>HM30</f>
        <v>0</v>
      </c>
      <c r="HO30" s="1345"/>
      <c r="HP30" s="1347"/>
      <c r="HQ30" s="101">
        <f>'Федеральные  средства  по  МО'!BA31</f>
        <v>0</v>
      </c>
      <c r="HR30" s="1345">
        <f>HQ30</f>
        <v>0</v>
      </c>
      <c r="HS30" s="1345"/>
      <c r="HT30" s="1347"/>
      <c r="HU30" s="103">
        <f>'Федеральные  средства  по  МО'!AF31</f>
        <v>0</v>
      </c>
      <c r="HV30" s="1345"/>
      <c r="HW30" s="1346">
        <f t="shared" ref="HW30:HW31" si="85">HU30</f>
        <v>0</v>
      </c>
      <c r="HX30" s="1345"/>
      <c r="HY30" s="104">
        <f>'Федеральные  средства  по  МО'!AG31</f>
        <v>0</v>
      </c>
      <c r="HZ30" s="1345"/>
      <c r="IA30" s="1346">
        <f t="shared" ref="IA30:IA31" si="86">HY30</f>
        <v>0</v>
      </c>
      <c r="IB30" s="1345"/>
      <c r="IC30" s="103">
        <f>'Федеральные  средства  по  МО'!BH31</f>
        <v>0</v>
      </c>
      <c r="ID30" s="1345">
        <f>'Проверочная  таблица'!NU32</f>
        <v>0</v>
      </c>
      <c r="IE30" s="1346"/>
      <c r="IF30" s="1345"/>
      <c r="IG30" s="104">
        <f>'Федеральные  средства  по  МО'!BI31</f>
        <v>0</v>
      </c>
      <c r="IH30" s="1345">
        <f>'Проверочная  таблица'!OB32</f>
        <v>0</v>
      </c>
      <c r="II30" s="1346"/>
      <c r="IJ30" s="1345"/>
      <c r="IK30" s="101">
        <f>'Федеральные  средства  по  МО'!BJ31</f>
        <v>0</v>
      </c>
      <c r="IL30" s="1345">
        <f>IK30</f>
        <v>0</v>
      </c>
      <c r="IM30" s="1346"/>
      <c r="IN30" s="1345"/>
      <c r="IO30" s="101">
        <f>'Федеральные  средства  по  МО'!BK31</f>
        <v>0</v>
      </c>
      <c r="IP30" s="1345">
        <f>IO30</f>
        <v>0</v>
      </c>
      <c r="IQ30" s="1345"/>
      <c r="IR30" s="1347"/>
      <c r="IS30" s="101">
        <f>'Федеральные  средства  по  МО'!BB31</f>
        <v>0</v>
      </c>
      <c r="IT30" s="1345">
        <f>IS30</f>
        <v>0</v>
      </c>
      <c r="IU30" s="1345"/>
      <c r="IV30" s="1347"/>
      <c r="IW30" s="101">
        <f>'Федеральные  средства  по  МО'!BC31</f>
        <v>0</v>
      </c>
      <c r="IX30" s="1345">
        <f>IW30</f>
        <v>0</v>
      </c>
      <c r="IY30" s="1345"/>
      <c r="IZ30" s="1346"/>
      <c r="JA30" s="101">
        <f>'Федеральные  средства  по  МО'!BF31</f>
        <v>0</v>
      </c>
      <c r="JB30" s="1345">
        <f>JA30</f>
        <v>0</v>
      </c>
      <c r="JC30" s="1346"/>
      <c r="JD30" s="1345"/>
      <c r="JE30" s="101">
        <f>'Федеральные  средства  по  МО'!BG31</f>
        <v>0</v>
      </c>
      <c r="JF30" s="1345">
        <f>JE30</f>
        <v>0</v>
      </c>
      <c r="JG30" s="1345"/>
      <c r="JH30" s="1347"/>
      <c r="JI30" s="103">
        <f>'Федеральные  средства  по  МО'!BL31</f>
        <v>0</v>
      </c>
      <c r="JJ30" s="1345">
        <f>'Проверочная  таблица'!PW32</f>
        <v>0</v>
      </c>
      <c r="JK30" s="1346">
        <f>'Проверочная  таблица'!QI32</f>
        <v>0</v>
      </c>
      <c r="JL30" s="1345"/>
      <c r="JM30" s="104">
        <f>'Федеральные  средства  по  МО'!BM31</f>
        <v>0</v>
      </c>
      <c r="JN30" s="1345">
        <f>'Проверочная  таблица'!PZ32</f>
        <v>0</v>
      </c>
      <c r="JO30" s="1346">
        <f>'Проверочная  таблица'!QL32</f>
        <v>0</v>
      </c>
      <c r="JP30" s="1345"/>
    </row>
    <row r="31" spans="1:276" ht="25.5" customHeight="1" thickBot="1" x14ac:dyDescent="0.3">
      <c r="A31" s="105" t="s">
        <v>6</v>
      </c>
      <c r="B31" s="278">
        <f>SUM(C31:E31)</f>
        <v>482054254.32999992</v>
      </c>
      <c r="C31" s="1329">
        <f t="shared" si="71"/>
        <v>482054254.32999992</v>
      </c>
      <c r="D31" s="1329">
        <f t="shared" si="71"/>
        <v>0</v>
      </c>
      <c r="E31" s="1329">
        <f t="shared" si="71"/>
        <v>0</v>
      </c>
      <c r="F31" s="278">
        <f>SUM(G31:I31)</f>
        <v>311847189.97000003</v>
      </c>
      <c r="G31" s="1329">
        <f t="shared" si="72"/>
        <v>311847189.97000003</v>
      </c>
      <c r="H31" s="1329">
        <f t="shared" si="72"/>
        <v>0</v>
      </c>
      <c r="I31" s="1329">
        <f t="shared" si="72"/>
        <v>0</v>
      </c>
      <c r="J31" s="105"/>
      <c r="K31" s="1330">
        <f>M31-'Федеральные  средства  по  МО'!D32</f>
        <v>0</v>
      </c>
      <c r="L31" s="1330">
        <f>Q31-'Федеральные  средства  по  МО'!E32</f>
        <v>0</v>
      </c>
      <c r="M31" s="278">
        <f t="shared" si="73"/>
        <v>1043215474.9199998</v>
      </c>
      <c r="N31" s="1329">
        <f t="shared" si="73"/>
        <v>1043215474.9199998</v>
      </c>
      <c r="O31" s="1329">
        <f t="shared" si="73"/>
        <v>0</v>
      </c>
      <c r="P31" s="1329">
        <f t="shared" si="73"/>
        <v>0</v>
      </c>
      <c r="Q31" s="278">
        <f t="shared" si="73"/>
        <v>762073375.74000001</v>
      </c>
      <c r="R31" s="1329">
        <f t="shared" si="73"/>
        <v>762073375.74000001</v>
      </c>
      <c r="S31" s="1329">
        <f t="shared" si="73"/>
        <v>0</v>
      </c>
      <c r="T31" s="1329">
        <f t="shared" si="73"/>
        <v>0</v>
      </c>
      <c r="U31" s="103"/>
      <c r="V31" s="1345"/>
      <c r="W31" s="1346"/>
      <c r="X31" s="1345"/>
      <c r="Y31" s="101"/>
      <c r="Z31" s="1346"/>
      <c r="AA31" s="1345"/>
      <c r="AB31" s="1347"/>
      <c r="AC31" s="101">
        <f>'Федеральные  средства  по  МО'!F32</f>
        <v>561161220.58999991</v>
      </c>
      <c r="AD31" s="1348">
        <f>AC31</f>
        <v>561161220.58999991</v>
      </c>
      <c r="AE31" s="1352"/>
      <c r="AF31" s="1354"/>
      <c r="AG31" s="101">
        <f>'Федеральные  средства  по  МО'!G32</f>
        <v>450226185.76999998</v>
      </c>
      <c r="AH31" s="1348">
        <f>AG31</f>
        <v>450226185.76999998</v>
      </c>
      <c r="AI31" s="1345"/>
      <c r="AJ31" s="1347"/>
      <c r="AK31" s="101">
        <f>'Федеральные  средства  по  МО'!H32</f>
        <v>0</v>
      </c>
      <c r="AL31" s="1345">
        <f>AK31</f>
        <v>0</v>
      </c>
      <c r="AM31" s="1346"/>
      <c r="AN31" s="1348"/>
      <c r="AO31" s="101">
        <f>'Федеральные  средства  по  МО'!I32</f>
        <v>0</v>
      </c>
      <c r="AP31" s="1345">
        <f>AO31</f>
        <v>0</v>
      </c>
      <c r="AQ31" s="1345"/>
      <c r="AR31" s="1347"/>
      <c r="AS31" s="101">
        <f>'Федеральные  средства  по  МО'!J32</f>
        <v>0</v>
      </c>
      <c r="AT31" s="1345">
        <f>AS31</f>
        <v>0</v>
      </c>
      <c r="AU31" s="1329"/>
      <c r="AV31" s="1378"/>
      <c r="AW31" s="101">
        <f>'Федеральные  средства  по  МО'!K32</f>
        <v>0</v>
      </c>
      <c r="AX31" s="1345">
        <f>AW31</f>
        <v>0</v>
      </c>
      <c r="AY31" s="1378"/>
      <c r="AZ31" s="1329"/>
      <c r="BA31" s="101">
        <f>'Федеральные  средства  по  МО'!L32</f>
        <v>0</v>
      </c>
      <c r="BB31" s="1345">
        <f>BA31</f>
        <v>0</v>
      </c>
      <c r="BC31" s="1378"/>
      <c r="BD31" s="1329"/>
      <c r="BE31" s="101">
        <f>'Федеральные  средства  по  МО'!M32</f>
        <v>0</v>
      </c>
      <c r="BF31" s="1345">
        <f>BE31</f>
        <v>0</v>
      </c>
      <c r="BG31" s="1345"/>
      <c r="BH31" s="1347"/>
      <c r="BI31" s="101">
        <f>'Федеральные  средства  по  МО'!N32</f>
        <v>0</v>
      </c>
      <c r="BJ31" s="1347">
        <f t="shared" si="74"/>
        <v>0</v>
      </c>
      <c r="BK31" s="1345"/>
      <c r="BL31" s="1346"/>
      <c r="BM31" s="101">
        <f>'Федеральные  средства  по  МО'!O32</f>
        <v>0</v>
      </c>
      <c r="BN31" s="1345">
        <f>BM31</f>
        <v>0</v>
      </c>
      <c r="BO31" s="1345"/>
      <c r="BP31" s="1347"/>
      <c r="BQ31" s="101">
        <f>'Федеральные  средства  по  МО'!P32</f>
        <v>0</v>
      </c>
      <c r="BR31" s="1347">
        <f t="shared" si="75"/>
        <v>0</v>
      </c>
      <c r="BS31" s="1345"/>
      <c r="BT31" s="1346"/>
      <c r="BU31" s="101">
        <f>'Федеральные  средства  по  МО'!Q32</f>
        <v>0</v>
      </c>
      <c r="BV31" s="1345">
        <f>BU31</f>
        <v>0</v>
      </c>
      <c r="BW31" s="1345"/>
      <c r="BX31" s="1347"/>
      <c r="BY31" s="101">
        <f>'Федеральные  средства  по  МО'!R32</f>
        <v>0</v>
      </c>
      <c r="BZ31" s="1347">
        <f t="shared" si="76"/>
        <v>0</v>
      </c>
      <c r="CA31" s="1346"/>
      <c r="CB31" s="1348"/>
      <c r="CC31" s="101">
        <f>'Федеральные  средства  по  МО'!S32</f>
        <v>0</v>
      </c>
      <c r="CD31" s="1345">
        <f>CC31</f>
        <v>0</v>
      </c>
      <c r="CE31" s="1345"/>
      <c r="CF31" s="1347"/>
      <c r="CG31" s="103">
        <f>'Федеральные  средства  по  МО'!T32</f>
        <v>0</v>
      </c>
      <c r="CH31" s="1345">
        <f t="shared" si="77"/>
        <v>0</v>
      </c>
      <c r="CI31" s="1346"/>
      <c r="CJ31" s="1345"/>
      <c r="CK31" s="104">
        <f>'Федеральные  средства  по  МО'!U32</f>
        <v>0</v>
      </c>
      <c r="CL31" s="1345">
        <f t="shared" si="78"/>
        <v>0</v>
      </c>
      <c r="CM31" s="1346"/>
      <c r="CN31" s="1345"/>
      <c r="CO31" s="101">
        <f>'Федеральные  средства  по  МО'!V32</f>
        <v>25000000</v>
      </c>
      <c r="CP31" s="1347">
        <f>CO31</f>
        <v>25000000</v>
      </c>
      <c r="CQ31" s="1346"/>
      <c r="CR31" s="1348"/>
      <c r="CS31" s="101">
        <f>'Федеральные  средства  по  МО'!W32</f>
        <v>25000000</v>
      </c>
      <c r="CT31" s="1345">
        <f>CS31</f>
        <v>25000000</v>
      </c>
      <c r="CU31" s="1345"/>
      <c r="CV31" s="1347"/>
      <c r="CW31" s="101">
        <f>'Федеральные  средства  по  МО'!X32</f>
        <v>0</v>
      </c>
      <c r="CX31" s="1347">
        <f t="shared" si="79"/>
        <v>0</v>
      </c>
      <c r="CY31" s="1346"/>
      <c r="CZ31" s="1348"/>
      <c r="DA31" s="101">
        <f>'Федеральные  средства  по  МО'!Y32</f>
        <v>0</v>
      </c>
      <c r="DB31" s="1345">
        <f>DA31</f>
        <v>0</v>
      </c>
      <c r="DC31" s="1345"/>
      <c r="DD31" s="1347"/>
      <c r="DE31" s="101">
        <f>'Федеральные  средства  по  МО'!Z32</f>
        <v>108225985.53</v>
      </c>
      <c r="DF31" s="1345">
        <f t="shared" si="80"/>
        <v>108225985.53</v>
      </c>
      <c r="DG31" s="1345"/>
      <c r="DH31" s="1346"/>
      <c r="DI31" s="101">
        <f>'Федеральные  средства  по  МО'!AA32</f>
        <v>60825002.490000002</v>
      </c>
      <c r="DJ31" s="1345">
        <f t="shared" si="81"/>
        <v>60825002.490000002</v>
      </c>
      <c r="DK31" s="1345"/>
      <c r="DL31" s="1347"/>
      <c r="DM31" s="101">
        <f>'Федеральные  средства  по  МО'!AB32</f>
        <v>36999000</v>
      </c>
      <c r="DN31" s="1345">
        <f>DM31</f>
        <v>36999000</v>
      </c>
      <c r="DO31" s="1329"/>
      <c r="DP31" s="1378"/>
      <c r="DQ31" s="101">
        <f>'Федеральные  средства  по  МО'!AC32</f>
        <v>34773463.049999997</v>
      </c>
      <c r="DR31" s="1345">
        <f>DQ31</f>
        <v>34773463.049999997</v>
      </c>
      <c r="DS31" s="1345"/>
      <c r="DT31" s="1347"/>
      <c r="DU31" s="101">
        <f>'Федеральные  средства  по  МО'!AD32</f>
        <v>0</v>
      </c>
      <c r="DV31" s="1347">
        <f t="shared" si="82"/>
        <v>0</v>
      </c>
      <c r="DW31" s="1346"/>
      <c r="DX31" s="1348"/>
      <c r="DY31" s="101">
        <f>'Федеральные  средства  по  МО'!AE32</f>
        <v>0</v>
      </c>
      <c r="DZ31" s="1345">
        <f>DY31</f>
        <v>0</v>
      </c>
      <c r="EA31" s="1345"/>
      <c r="EB31" s="1347"/>
      <c r="EC31" s="101">
        <f>'Федеральные  средства  по  МО'!AH32</f>
        <v>0</v>
      </c>
      <c r="ED31" s="1345">
        <f>EC31</f>
        <v>0</v>
      </c>
      <c r="EE31" s="1329"/>
      <c r="EF31" s="1378"/>
      <c r="EG31" s="101">
        <f>'Федеральные  средства  по  МО'!AI32</f>
        <v>0</v>
      </c>
      <c r="EH31" s="1345">
        <f>EG31</f>
        <v>0</v>
      </c>
      <c r="EI31" s="1345"/>
      <c r="EJ31" s="1347"/>
      <c r="EK31" s="101">
        <f>'Федеральные  средства  по  МО'!AJ32</f>
        <v>0</v>
      </c>
      <c r="EL31" s="1345">
        <f>EK31</f>
        <v>0</v>
      </c>
      <c r="EM31" s="1346"/>
      <c r="EN31" s="1345"/>
      <c r="EO31" s="101">
        <f>'Федеральные  средства  по  МО'!AK32</f>
        <v>0</v>
      </c>
      <c r="EP31" s="1345">
        <f>EO31</f>
        <v>0</v>
      </c>
      <c r="EQ31" s="1345"/>
      <c r="ER31" s="1345"/>
      <c r="ES31" s="101">
        <f>'Федеральные  средства  по  МО'!AL32</f>
        <v>0</v>
      </c>
      <c r="ET31" s="1345">
        <f>ES31</f>
        <v>0</v>
      </c>
      <c r="EU31" s="1378"/>
      <c r="EV31" s="1329"/>
      <c r="EW31" s="104">
        <f>'Федеральные  средства  по  МО'!AM32</f>
        <v>0</v>
      </c>
      <c r="EX31" s="1345">
        <f>EW31</f>
        <v>0</v>
      </c>
      <c r="EY31" s="1346"/>
      <c r="EZ31" s="1345"/>
      <c r="FA31" s="101">
        <f>'Федеральные  средства  по  МО'!AN32</f>
        <v>0</v>
      </c>
      <c r="FB31" s="1345">
        <f>FA31</f>
        <v>0</v>
      </c>
      <c r="FC31" s="1329"/>
      <c r="FD31" s="1379"/>
      <c r="FE31" s="101">
        <f>'Федеральные  средства  по  МО'!AO32</f>
        <v>0</v>
      </c>
      <c r="FF31" s="1345">
        <f>FE31</f>
        <v>0</v>
      </c>
      <c r="FG31" s="1345"/>
      <c r="FH31" s="1347"/>
      <c r="FI31" s="101">
        <f>'Федеральные  средства  по  МО'!AP32</f>
        <v>0</v>
      </c>
      <c r="FJ31" s="1345">
        <f>FI31</f>
        <v>0</v>
      </c>
      <c r="FK31" s="1329"/>
      <c r="FL31" s="1379"/>
      <c r="FM31" s="101">
        <f>'Федеральные  средства  по  МО'!AQ32</f>
        <v>0</v>
      </c>
      <c r="FN31" s="1345">
        <f>FM31</f>
        <v>0</v>
      </c>
      <c r="FO31" s="1345"/>
      <c r="FP31" s="1347"/>
      <c r="FQ31" s="103">
        <f>'Федеральные  средства  по  МО'!AT32</f>
        <v>0</v>
      </c>
      <c r="FR31" s="1345">
        <f>FQ31</f>
        <v>0</v>
      </c>
      <c r="FS31" s="1329"/>
      <c r="FT31" s="1379"/>
      <c r="FU31" s="104">
        <f>'Федеральные  средства  по  МО'!AU32</f>
        <v>0</v>
      </c>
      <c r="FV31" s="1345">
        <f>FU31</f>
        <v>0</v>
      </c>
      <c r="FW31" s="1348"/>
      <c r="FX31" s="1345"/>
      <c r="FY31" s="101">
        <f>'Федеральные  средства  по  МО'!AR32</f>
        <v>16402168.800000001</v>
      </c>
      <c r="FZ31" s="1345">
        <f t="shared" si="83"/>
        <v>16402168.800000001</v>
      </c>
      <c r="GA31" s="1348"/>
      <c r="GB31" s="1348"/>
      <c r="GC31" s="101">
        <f>'Федеральные  средства  по  МО'!AS32</f>
        <v>7474119.4800000004</v>
      </c>
      <c r="GD31" s="1345">
        <f t="shared" si="84"/>
        <v>7474119.4800000004</v>
      </c>
      <c r="GE31" s="1347"/>
      <c r="GF31" s="1347"/>
      <c r="GG31" s="101">
        <f>'Федеральные  средства  по  МО'!AV32</f>
        <v>0</v>
      </c>
      <c r="GH31" s="1345">
        <f>GG31</f>
        <v>0</v>
      </c>
      <c r="GI31" s="1329"/>
      <c r="GJ31" s="1379"/>
      <c r="GK31" s="107">
        <f>'Федеральные  средства  по  МО'!AW32</f>
        <v>0</v>
      </c>
      <c r="GL31" s="1345">
        <f>GK31</f>
        <v>0</v>
      </c>
      <c r="GM31" s="1378"/>
      <c r="GN31" s="1329"/>
      <c r="GO31" s="1349"/>
      <c r="GP31" s="1345">
        <f>GO31</f>
        <v>0</v>
      </c>
      <c r="GQ31" s="1378"/>
      <c r="GR31" s="1329"/>
      <c r="GS31" s="1349"/>
      <c r="GT31" s="1345">
        <f>GS31</f>
        <v>0</v>
      </c>
      <c r="GU31" s="1345"/>
      <c r="GV31" s="1347"/>
      <c r="GW31" s="101">
        <f>'Федеральные  средства  по  МО'!AX32</f>
        <v>157587700</v>
      </c>
      <c r="GX31" s="1345">
        <f>GW31</f>
        <v>157587700</v>
      </c>
      <c r="GY31" s="1329"/>
      <c r="GZ31" s="1379"/>
      <c r="HA31" s="101">
        <f>'Федеральные  средства  по  МО'!AY32</f>
        <v>126876803.75</v>
      </c>
      <c r="HB31" s="1345">
        <f>HA31</f>
        <v>126876803.75</v>
      </c>
      <c r="HC31" s="1345"/>
      <c r="HD31" s="1346"/>
      <c r="HE31" s="101">
        <f>'Федеральные  средства  по  МО'!BD32</f>
        <v>0</v>
      </c>
      <c r="HF31" s="1345">
        <f>HE31</f>
        <v>0</v>
      </c>
      <c r="HG31" s="1346"/>
      <c r="HH31" s="1345"/>
      <c r="HI31" s="101">
        <f>'Федеральные  средства  по  МО'!BE32</f>
        <v>0</v>
      </c>
      <c r="HJ31" s="1345">
        <f>HI31</f>
        <v>0</v>
      </c>
      <c r="HK31" s="1345"/>
      <c r="HL31" s="1347"/>
      <c r="HM31" s="101">
        <f>'Федеральные  средства  по  МО'!AZ32</f>
        <v>0</v>
      </c>
      <c r="HN31" s="1345">
        <f>HM31</f>
        <v>0</v>
      </c>
      <c r="HO31" s="1329"/>
      <c r="HP31" s="1379"/>
      <c r="HQ31" s="101">
        <f>'Федеральные  средства  по  МО'!BA32</f>
        <v>0</v>
      </c>
      <c r="HR31" s="1345">
        <f>HQ31</f>
        <v>0</v>
      </c>
      <c r="HS31" s="1345"/>
      <c r="HT31" s="1347"/>
      <c r="HU31" s="103">
        <f>'Федеральные  средства  по  МО'!AF32</f>
        <v>0</v>
      </c>
      <c r="HV31" s="1345"/>
      <c r="HW31" s="1346">
        <f t="shared" si="85"/>
        <v>0</v>
      </c>
      <c r="HX31" s="1345"/>
      <c r="HY31" s="104">
        <f>'Федеральные  средства  по  МО'!AG32</f>
        <v>0</v>
      </c>
      <c r="HZ31" s="1345"/>
      <c r="IA31" s="1346">
        <f t="shared" si="86"/>
        <v>0</v>
      </c>
      <c r="IB31" s="1345"/>
      <c r="IC31" s="103">
        <f>'Федеральные  средства  по  МО'!BH32</f>
        <v>0</v>
      </c>
      <c r="ID31" s="1345">
        <f>'Проверочная  таблица'!NU33</f>
        <v>0</v>
      </c>
      <c r="IE31" s="1346"/>
      <c r="IF31" s="1345"/>
      <c r="IG31" s="104">
        <f>'Федеральные  средства  по  МО'!BI32</f>
        <v>0</v>
      </c>
      <c r="IH31" s="1345">
        <f>'Проверочная  таблица'!OB33</f>
        <v>0</v>
      </c>
      <c r="II31" s="1346"/>
      <c r="IJ31" s="1345"/>
      <c r="IK31" s="101">
        <f>'Федеральные  средства  по  МО'!BJ32</f>
        <v>0</v>
      </c>
      <c r="IL31" s="1345">
        <f>IK31</f>
        <v>0</v>
      </c>
      <c r="IM31" s="1346"/>
      <c r="IN31" s="1345"/>
      <c r="IO31" s="101">
        <f>'Федеральные  средства  по  МО'!BK32</f>
        <v>0</v>
      </c>
      <c r="IP31" s="1345">
        <f>IO31</f>
        <v>0</v>
      </c>
      <c r="IQ31" s="1345"/>
      <c r="IR31" s="1347"/>
      <c r="IS31" s="101">
        <f>'Федеральные  средства  по  МО'!BB32</f>
        <v>137839400</v>
      </c>
      <c r="IT31" s="1345">
        <f>IS31</f>
        <v>137839400</v>
      </c>
      <c r="IU31" s="1329"/>
      <c r="IV31" s="1379"/>
      <c r="IW31" s="101">
        <f>'Федеральные  средства  по  МО'!BC32</f>
        <v>56897801.200000003</v>
      </c>
      <c r="IX31" s="1345">
        <f>IW31</f>
        <v>56897801.200000003</v>
      </c>
      <c r="IY31" s="1345"/>
      <c r="IZ31" s="1346"/>
      <c r="JA31" s="101">
        <f>'Федеральные  средства  по  МО'!BF32</f>
        <v>0</v>
      </c>
      <c r="JB31" s="1345">
        <f>JA31</f>
        <v>0</v>
      </c>
      <c r="JC31" s="1346"/>
      <c r="JD31" s="1345"/>
      <c r="JE31" s="101">
        <f>'Федеральные  средства  по  МО'!BG32</f>
        <v>0</v>
      </c>
      <c r="JF31" s="1345">
        <f>JE31</f>
        <v>0</v>
      </c>
      <c r="JG31" s="1345"/>
      <c r="JH31" s="1347"/>
      <c r="JI31" s="103">
        <f>'Федеральные  средства  по  МО'!BL32</f>
        <v>0</v>
      </c>
      <c r="JJ31" s="1345">
        <f>'Проверочная  таблица'!PW33</f>
        <v>0</v>
      </c>
      <c r="JK31" s="1346">
        <f>'Проверочная  таблица'!QI33</f>
        <v>0</v>
      </c>
      <c r="JL31" s="1345"/>
      <c r="JM31" s="104">
        <f>'Федеральные  средства  по  МО'!BM32</f>
        <v>0</v>
      </c>
      <c r="JN31" s="1345">
        <f>'Проверочная  таблица'!PZ33</f>
        <v>0</v>
      </c>
      <c r="JO31" s="1346">
        <f>'Проверочная  таблица'!QL33</f>
        <v>0</v>
      </c>
      <c r="JP31" s="1345"/>
    </row>
    <row r="32" spans="1:276" ht="25.5" customHeight="1" thickBot="1" x14ac:dyDescent="0.3">
      <c r="A32" s="160" t="s">
        <v>7</v>
      </c>
      <c r="B32" s="114">
        <f t="shared" ref="B32" si="87">SUM(B30:B31)</f>
        <v>531888054.32999992</v>
      </c>
      <c r="C32" s="1359">
        <f>SUM(C30:C31)</f>
        <v>531888054.32999992</v>
      </c>
      <c r="D32" s="1359">
        <f>SUM(D30:D31)</f>
        <v>0</v>
      </c>
      <c r="E32" s="1359">
        <f>SUM(E30:E31)</f>
        <v>0</v>
      </c>
      <c r="F32" s="114">
        <f t="shared" ref="F32" si="88">SUM(F30:F31)</f>
        <v>346131994.60000002</v>
      </c>
      <c r="G32" s="1359">
        <f>SUM(G30:G31)</f>
        <v>346131994.60000002</v>
      </c>
      <c r="H32" s="1359">
        <f>SUM(H30:H31)</f>
        <v>0</v>
      </c>
      <c r="I32" s="1359">
        <f>SUM(I30:I31)</f>
        <v>0</v>
      </c>
      <c r="J32" s="105"/>
      <c r="K32" s="1330">
        <f>M32-'Федеральные  средства  по  МО'!D33</f>
        <v>0</v>
      </c>
      <c r="L32" s="1330">
        <f>Q32-'Федеральные  средства  по  МО'!E33</f>
        <v>0</v>
      </c>
      <c r="M32" s="114">
        <f t="shared" ref="M32" si="89">SUM(M30:M31)</f>
        <v>1118181864.0799999</v>
      </c>
      <c r="N32" s="1359">
        <f t="shared" ref="N32:T32" si="90">SUM(N30:N31)</f>
        <v>1118181864.0799999</v>
      </c>
      <c r="O32" s="1359">
        <f t="shared" si="90"/>
        <v>0</v>
      </c>
      <c r="P32" s="1359">
        <f t="shared" si="90"/>
        <v>0</v>
      </c>
      <c r="Q32" s="114">
        <f t="shared" si="90"/>
        <v>818903162.21000004</v>
      </c>
      <c r="R32" s="1359">
        <f t="shared" si="90"/>
        <v>818903162.21000004</v>
      </c>
      <c r="S32" s="1359">
        <f t="shared" si="90"/>
        <v>0</v>
      </c>
      <c r="T32" s="1359">
        <f t="shared" si="90"/>
        <v>0</v>
      </c>
      <c r="U32" s="790">
        <f t="shared" ref="U32:BH32" si="91">SUM(U30:U31)</f>
        <v>0</v>
      </c>
      <c r="V32" s="1380">
        <f t="shared" si="91"/>
        <v>0</v>
      </c>
      <c r="W32" s="1381">
        <f t="shared" si="91"/>
        <v>0</v>
      </c>
      <c r="X32" s="1359">
        <f t="shared" si="91"/>
        <v>0</v>
      </c>
      <c r="Y32" s="114">
        <f t="shared" si="91"/>
        <v>0</v>
      </c>
      <c r="Z32" s="1381">
        <f t="shared" si="91"/>
        <v>0</v>
      </c>
      <c r="AA32" s="1359">
        <f t="shared" si="91"/>
        <v>0</v>
      </c>
      <c r="AB32" s="1382">
        <f t="shared" si="91"/>
        <v>0</v>
      </c>
      <c r="AC32" s="790">
        <f t="shared" si="91"/>
        <v>586293809.74999988</v>
      </c>
      <c r="AD32" s="1383">
        <f t="shared" si="91"/>
        <v>586293809.74999988</v>
      </c>
      <c r="AE32" s="1380">
        <f t="shared" si="91"/>
        <v>0</v>
      </c>
      <c r="AF32" s="1382">
        <f t="shared" si="91"/>
        <v>0</v>
      </c>
      <c r="AG32" s="117">
        <f t="shared" si="91"/>
        <v>472771167.60999995</v>
      </c>
      <c r="AH32" s="1383">
        <f t="shared" si="91"/>
        <v>472771167.60999995</v>
      </c>
      <c r="AI32" s="1380">
        <f t="shared" si="91"/>
        <v>0</v>
      </c>
      <c r="AJ32" s="1382">
        <f t="shared" si="91"/>
        <v>0</v>
      </c>
      <c r="AK32" s="790">
        <f t="shared" si="91"/>
        <v>0</v>
      </c>
      <c r="AL32" s="1383">
        <f t="shared" si="91"/>
        <v>0</v>
      </c>
      <c r="AM32" s="1380">
        <f t="shared" si="91"/>
        <v>0</v>
      </c>
      <c r="AN32" s="1382">
        <f t="shared" si="91"/>
        <v>0</v>
      </c>
      <c r="AO32" s="117">
        <f t="shared" si="91"/>
        <v>0</v>
      </c>
      <c r="AP32" s="1383">
        <f t="shared" ref="AP32" si="92">SUM(AP30:AP31)</f>
        <v>0</v>
      </c>
      <c r="AQ32" s="1380">
        <f t="shared" si="91"/>
        <v>0</v>
      </c>
      <c r="AR32" s="1382">
        <f t="shared" si="91"/>
        <v>0</v>
      </c>
      <c r="AS32" s="116">
        <f t="shared" si="91"/>
        <v>0</v>
      </c>
      <c r="AT32" s="1380">
        <f t="shared" si="91"/>
        <v>0</v>
      </c>
      <c r="AU32" s="1380">
        <f t="shared" si="91"/>
        <v>0</v>
      </c>
      <c r="AV32" s="1381">
        <f t="shared" si="91"/>
        <v>0</v>
      </c>
      <c r="AW32" s="114">
        <f t="shared" si="91"/>
        <v>0</v>
      </c>
      <c r="AX32" s="1380">
        <f t="shared" si="91"/>
        <v>0</v>
      </c>
      <c r="AY32" s="1381">
        <f t="shared" si="91"/>
        <v>0</v>
      </c>
      <c r="AZ32" s="1380">
        <f t="shared" si="91"/>
        <v>0</v>
      </c>
      <c r="BA32" s="118">
        <f t="shared" si="91"/>
        <v>0</v>
      </c>
      <c r="BB32" s="1380">
        <f t="shared" si="91"/>
        <v>0</v>
      </c>
      <c r="BC32" s="1381">
        <f t="shared" si="91"/>
        <v>0</v>
      </c>
      <c r="BD32" s="1380">
        <f t="shared" si="91"/>
        <v>0</v>
      </c>
      <c r="BE32" s="117">
        <f t="shared" si="91"/>
        <v>0</v>
      </c>
      <c r="BF32" s="1380">
        <f t="shared" si="91"/>
        <v>0</v>
      </c>
      <c r="BG32" s="1380">
        <f t="shared" si="91"/>
        <v>0</v>
      </c>
      <c r="BH32" s="1382">
        <f t="shared" si="91"/>
        <v>0</v>
      </c>
      <c r="BI32" s="114">
        <f>SUM(BI30:BI31)</f>
        <v>0</v>
      </c>
      <c r="BJ32" s="1380">
        <f t="shared" ref="BJ32:BL32" si="93">SUM(BJ30:BJ31)</f>
        <v>0</v>
      </c>
      <c r="BK32" s="1380">
        <f t="shared" si="93"/>
        <v>0</v>
      </c>
      <c r="BL32" s="1382">
        <f t="shared" si="93"/>
        <v>0</v>
      </c>
      <c r="BM32" s="790">
        <f>SUM(BM30:BM31)</f>
        <v>0</v>
      </c>
      <c r="BN32" s="1380">
        <f t="shared" ref="BN32:EB32" si="94">SUM(BN30:BN31)</f>
        <v>0</v>
      </c>
      <c r="BO32" s="1380">
        <f t="shared" si="94"/>
        <v>0</v>
      </c>
      <c r="BP32" s="1382">
        <f t="shared" si="94"/>
        <v>0</v>
      </c>
      <c r="BQ32" s="116">
        <f t="shared" si="94"/>
        <v>0</v>
      </c>
      <c r="BR32" s="1380">
        <f t="shared" si="94"/>
        <v>0</v>
      </c>
      <c r="BS32" s="1380">
        <f t="shared" si="94"/>
        <v>0</v>
      </c>
      <c r="BT32" s="1382">
        <f t="shared" si="94"/>
        <v>0</v>
      </c>
      <c r="BU32" s="114">
        <f t="shared" si="94"/>
        <v>0</v>
      </c>
      <c r="BV32" s="1380">
        <f t="shared" si="94"/>
        <v>0</v>
      </c>
      <c r="BW32" s="1380">
        <f t="shared" si="94"/>
        <v>0</v>
      </c>
      <c r="BX32" s="1382">
        <f t="shared" si="94"/>
        <v>0</v>
      </c>
      <c r="BY32" s="114">
        <f t="shared" si="94"/>
        <v>0</v>
      </c>
      <c r="BZ32" s="1383">
        <f t="shared" si="94"/>
        <v>0</v>
      </c>
      <c r="CA32" s="1383">
        <f t="shared" si="94"/>
        <v>0</v>
      </c>
      <c r="CB32" s="1359">
        <f t="shared" si="94"/>
        <v>0</v>
      </c>
      <c r="CC32" s="459">
        <f t="shared" si="94"/>
        <v>0</v>
      </c>
      <c r="CD32" s="1383">
        <f t="shared" si="94"/>
        <v>0</v>
      </c>
      <c r="CE32" s="1380">
        <f t="shared" si="94"/>
        <v>0</v>
      </c>
      <c r="CF32" s="1382">
        <f t="shared" si="94"/>
        <v>0</v>
      </c>
      <c r="CG32" s="116">
        <f t="shared" ref="CG32:CN32" si="95">SUM(CG30:CG31)</f>
        <v>0</v>
      </c>
      <c r="CH32" s="1380">
        <f t="shared" si="95"/>
        <v>0</v>
      </c>
      <c r="CI32" s="1381">
        <f t="shared" si="95"/>
        <v>0</v>
      </c>
      <c r="CJ32" s="1359">
        <f t="shared" si="95"/>
        <v>0</v>
      </c>
      <c r="CK32" s="118">
        <f t="shared" si="95"/>
        <v>0</v>
      </c>
      <c r="CL32" s="1380">
        <f t="shared" si="95"/>
        <v>0</v>
      </c>
      <c r="CM32" s="1381">
        <f t="shared" si="95"/>
        <v>0</v>
      </c>
      <c r="CN32" s="1380">
        <f t="shared" si="95"/>
        <v>0</v>
      </c>
      <c r="CO32" s="116">
        <f t="shared" si="94"/>
        <v>25000000</v>
      </c>
      <c r="CP32" s="1383">
        <f t="shared" si="94"/>
        <v>25000000</v>
      </c>
      <c r="CQ32" s="1380">
        <f t="shared" si="94"/>
        <v>0</v>
      </c>
      <c r="CR32" s="1382">
        <f t="shared" si="94"/>
        <v>0</v>
      </c>
      <c r="CS32" s="117">
        <f t="shared" si="94"/>
        <v>25000000</v>
      </c>
      <c r="CT32" s="1383">
        <f t="shared" si="94"/>
        <v>25000000</v>
      </c>
      <c r="CU32" s="1380">
        <f t="shared" si="94"/>
        <v>0</v>
      </c>
      <c r="CV32" s="1382">
        <f t="shared" si="94"/>
        <v>0</v>
      </c>
      <c r="CW32" s="116">
        <f t="shared" si="94"/>
        <v>0</v>
      </c>
      <c r="CX32" s="1383">
        <f t="shared" si="94"/>
        <v>0</v>
      </c>
      <c r="CY32" s="1380">
        <f t="shared" si="94"/>
        <v>0</v>
      </c>
      <c r="CZ32" s="1382">
        <f t="shared" si="94"/>
        <v>0</v>
      </c>
      <c r="DA32" s="117">
        <f t="shared" si="94"/>
        <v>0</v>
      </c>
      <c r="DB32" s="1383">
        <f t="shared" si="94"/>
        <v>0</v>
      </c>
      <c r="DC32" s="1380">
        <f t="shared" si="94"/>
        <v>0</v>
      </c>
      <c r="DD32" s="1382">
        <f t="shared" si="94"/>
        <v>0</v>
      </c>
      <c r="DE32" s="116">
        <f t="shared" si="94"/>
        <v>108225985.53</v>
      </c>
      <c r="DF32" s="1383">
        <f t="shared" si="94"/>
        <v>108225985.53</v>
      </c>
      <c r="DG32" s="1380">
        <f t="shared" si="94"/>
        <v>0</v>
      </c>
      <c r="DH32" s="1382">
        <f t="shared" si="94"/>
        <v>0</v>
      </c>
      <c r="DI32" s="117">
        <f t="shared" si="94"/>
        <v>60825002.490000002</v>
      </c>
      <c r="DJ32" s="1383">
        <f t="shared" ref="DJ32" si="96">SUM(DJ30:DJ31)</f>
        <v>60825002.490000002</v>
      </c>
      <c r="DK32" s="1380">
        <f t="shared" si="94"/>
        <v>0</v>
      </c>
      <c r="DL32" s="1382">
        <f t="shared" si="94"/>
        <v>0</v>
      </c>
      <c r="DM32" s="116">
        <f t="shared" si="94"/>
        <v>36999000</v>
      </c>
      <c r="DN32" s="1383">
        <f t="shared" si="94"/>
        <v>36999000</v>
      </c>
      <c r="DO32" s="1380">
        <f t="shared" si="94"/>
        <v>0</v>
      </c>
      <c r="DP32" s="1382">
        <f t="shared" si="94"/>
        <v>0</v>
      </c>
      <c r="DQ32" s="117">
        <f t="shared" si="94"/>
        <v>34773463.049999997</v>
      </c>
      <c r="DR32" s="1383">
        <f t="shared" si="94"/>
        <v>34773463.049999997</v>
      </c>
      <c r="DS32" s="1380">
        <f t="shared" si="94"/>
        <v>0</v>
      </c>
      <c r="DT32" s="1382">
        <f t="shared" si="94"/>
        <v>0</v>
      </c>
      <c r="DU32" s="116">
        <f t="shared" si="94"/>
        <v>0</v>
      </c>
      <c r="DV32" s="1383">
        <f t="shared" si="94"/>
        <v>0</v>
      </c>
      <c r="DW32" s="1380">
        <f t="shared" si="94"/>
        <v>0</v>
      </c>
      <c r="DX32" s="1382">
        <f t="shared" si="94"/>
        <v>0</v>
      </c>
      <c r="DY32" s="117">
        <f t="shared" si="94"/>
        <v>0</v>
      </c>
      <c r="DZ32" s="1383">
        <f t="shared" si="94"/>
        <v>0</v>
      </c>
      <c r="EA32" s="1380">
        <f t="shared" si="94"/>
        <v>0</v>
      </c>
      <c r="EB32" s="1382">
        <f t="shared" si="94"/>
        <v>0</v>
      </c>
      <c r="EC32" s="116">
        <f>SUM(EC30:EC31)</f>
        <v>0</v>
      </c>
      <c r="ED32" s="1383">
        <f t="shared" ref="ED32:EF32" si="97">SUM(ED30:ED31)</f>
        <v>0</v>
      </c>
      <c r="EE32" s="1380">
        <f t="shared" si="97"/>
        <v>0</v>
      </c>
      <c r="EF32" s="1382">
        <f t="shared" si="97"/>
        <v>0</v>
      </c>
      <c r="EG32" s="117">
        <f>SUM(EG30:EG31)</f>
        <v>0</v>
      </c>
      <c r="EH32" s="1383">
        <f t="shared" ref="EH32:EJ32" si="98">SUM(EH30:EH31)</f>
        <v>0</v>
      </c>
      <c r="EI32" s="1380">
        <f t="shared" si="98"/>
        <v>0</v>
      </c>
      <c r="EJ32" s="1382">
        <f t="shared" si="98"/>
        <v>0</v>
      </c>
      <c r="EK32" s="114">
        <f t="shared" ref="EK32:HA32" si="99">SUM(EK30:EK31)</f>
        <v>2692900</v>
      </c>
      <c r="EL32" s="1383">
        <f t="shared" si="99"/>
        <v>2692900</v>
      </c>
      <c r="EM32" s="1380">
        <f t="shared" si="99"/>
        <v>0</v>
      </c>
      <c r="EN32" s="1382">
        <f t="shared" si="99"/>
        <v>0</v>
      </c>
      <c r="EO32" s="114">
        <f t="shared" si="99"/>
        <v>2692900</v>
      </c>
      <c r="EP32" s="1383">
        <f t="shared" si="99"/>
        <v>2692900</v>
      </c>
      <c r="EQ32" s="1380">
        <f t="shared" si="99"/>
        <v>0</v>
      </c>
      <c r="ER32" s="1380">
        <f t="shared" si="99"/>
        <v>0</v>
      </c>
      <c r="ES32" s="118">
        <f t="shared" si="99"/>
        <v>0</v>
      </c>
      <c r="ET32" s="1380">
        <f t="shared" si="99"/>
        <v>0</v>
      </c>
      <c r="EU32" s="1381">
        <f t="shared" si="99"/>
        <v>0</v>
      </c>
      <c r="EV32" s="1380">
        <f t="shared" si="99"/>
        <v>0</v>
      </c>
      <c r="EW32" s="118">
        <f t="shared" si="99"/>
        <v>0</v>
      </c>
      <c r="EX32" s="1380">
        <f t="shared" si="99"/>
        <v>0</v>
      </c>
      <c r="EY32" s="1381">
        <f t="shared" si="99"/>
        <v>0</v>
      </c>
      <c r="EZ32" s="1380">
        <f t="shared" si="99"/>
        <v>0</v>
      </c>
      <c r="FA32" s="116">
        <f t="shared" si="99"/>
        <v>0</v>
      </c>
      <c r="FB32" s="1383">
        <f t="shared" si="99"/>
        <v>0</v>
      </c>
      <c r="FC32" s="1380">
        <f t="shared" si="99"/>
        <v>0</v>
      </c>
      <c r="FD32" s="1382">
        <f t="shared" si="99"/>
        <v>0</v>
      </c>
      <c r="FE32" s="114">
        <f t="shared" si="99"/>
        <v>0</v>
      </c>
      <c r="FF32" s="1383">
        <f t="shared" si="99"/>
        <v>0</v>
      </c>
      <c r="FG32" s="1380">
        <f t="shared" si="99"/>
        <v>0</v>
      </c>
      <c r="FH32" s="1382">
        <f t="shared" si="99"/>
        <v>0</v>
      </c>
      <c r="FI32" s="116">
        <f t="shared" ref="FI32:FP32" si="100">SUM(FI30:FI31)</f>
        <v>0</v>
      </c>
      <c r="FJ32" s="1383">
        <f t="shared" si="100"/>
        <v>0</v>
      </c>
      <c r="FK32" s="1380">
        <f t="shared" si="100"/>
        <v>0</v>
      </c>
      <c r="FL32" s="1382">
        <f t="shared" si="100"/>
        <v>0</v>
      </c>
      <c r="FM32" s="114">
        <f t="shared" si="100"/>
        <v>0</v>
      </c>
      <c r="FN32" s="1383">
        <f t="shared" si="100"/>
        <v>0</v>
      </c>
      <c r="FO32" s="1380">
        <f t="shared" si="100"/>
        <v>0</v>
      </c>
      <c r="FP32" s="1382">
        <f t="shared" si="100"/>
        <v>0</v>
      </c>
      <c r="FQ32" s="116">
        <f t="shared" ref="FQ32:FX32" si="101">SUM(FQ30:FQ31)</f>
        <v>0</v>
      </c>
      <c r="FR32" s="1383">
        <f t="shared" si="101"/>
        <v>0</v>
      </c>
      <c r="FS32" s="1380">
        <f t="shared" si="101"/>
        <v>0</v>
      </c>
      <c r="FT32" s="1382">
        <f t="shared" si="101"/>
        <v>0</v>
      </c>
      <c r="FU32" s="114">
        <f t="shared" si="101"/>
        <v>0</v>
      </c>
      <c r="FV32" s="1383">
        <f t="shared" si="101"/>
        <v>0</v>
      </c>
      <c r="FW32" s="1383">
        <f t="shared" si="101"/>
        <v>0</v>
      </c>
      <c r="FX32" s="1359">
        <f t="shared" si="101"/>
        <v>0</v>
      </c>
      <c r="FY32" s="116">
        <f>SUM(FY30:FY31)</f>
        <v>16402168.800000001</v>
      </c>
      <c r="FZ32" s="1383">
        <f t="shared" ref="FZ32:GB32" si="102">SUM(FZ30:FZ31)</f>
        <v>16402168.800000001</v>
      </c>
      <c r="GA32" s="1380">
        <f t="shared" si="102"/>
        <v>0</v>
      </c>
      <c r="GB32" s="1382">
        <f t="shared" si="102"/>
        <v>0</v>
      </c>
      <c r="GC32" s="117">
        <f>SUM(GC30:GC31)</f>
        <v>7474119.4800000004</v>
      </c>
      <c r="GD32" s="1380">
        <f t="shared" ref="GD32" si="103">SUM(GD30:GD31)</f>
        <v>7474119.4800000004</v>
      </c>
      <c r="GE32" s="1382">
        <f>SUM(GE30:GE31)</f>
        <v>0</v>
      </c>
      <c r="GF32" s="1382">
        <f>SUM(GF30:GF31)</f>
        <v>0</v>
      </c>
      <c r="GG32" s="116">
        <f t="shared" si="99"/>
        <v>0</v>
      </c>
      <c r="GH32" s="1383">
        <f t="shared" si="99"/>
        <v>0</v>
      </c>
      <c r="GI32" s="1380">
        <f t="shared" si="99"/>
        <v>0</v>
      </c>
      <c r="GJ32" s="1382">
        <f t="shared" si="99"/>
        <v>0</v>
      </c>
      <c r="GK32" s="790">
        <f t="shared" si="99"/>
        <v>0</v>
      </c>
      <c r="GL32" s="1359">
        <f t="shared" si="99"/>
        <v>0</v>
      </c>
      <c r="GM32" s="1381">
        <f t="shared" si="99"/>
        <v>0</v>
      </c>
      <c r="GN32" s="1359">
        <f t="shared" si="99"/>
        <v>0</v>
      </c>
      <c r="GO32" s="459">
        <f t="shared" si="99"/>
        <v>0</v>
      </c>
      <c r="GP32" s="1383">
        <f t="shared" si="99"/>
        <v>0</v>
      </c>
      <c r="GQ32" s="1383">
        <f t="shared" si="99"/>
        <v>0</v>
      </c>
      <c r="GR32" s="1359">
        <f t="shared" si="99"/>
        <v>0</v>
      </c>
      <c r="GS32" s="1375">
        <f t="shared" si="99"/>
        <v>0</v>
      </c>
      <c r="GT32" s="1383">
        <f t="shared" si="99"/>
        <v>0</v>
      </c>
      <c r="GU32" s="1380">
        <f t="shared" si="99"/>
        <v>0</v>
      </c>
      <c r="GV32" s="1382">
        <f t="shared" si="99"/>
        <v>0</v>
      </c>
      <c r="GW32" s="116">
        <f t="shared" si="99"/>
        <v>204728600</v>
      </c>
      <c r="GX32" s="1383">
        <f t="shared" si="99"/>
        <v>204728600</v>
      </c>
      <c r="GY32" s="1380">
        <f t="shared" si="99"/>
        <v>0</v>
      </c>
      <c r="GZ32" s="1382">
        <f t="shared" si="99"/>
        <v>0</v>
      </c>
      <c r="HA32" s="117">
        <f t="shared" si="99"/>
        <v>158468708.38</v>
      </c>
      <c r="HB32" s="1383">
        <f t="shared" ref="HB32:JH32" si="104">SUM(HB30:HB31)</f>
        <v>158468708.38</v>
      </c>
      <c r="HC32" s="1380">
        <f t="shared" si="104"/>
        <v>0</v>
      </c>
      <c r="HD32" s="1381">
        <f t="shared" si="104"/>
        <v>0</v>
      </c>
      <c r="HE32" s="116">
        <f t="shared" ref="HE32:HL32" si="105">SUM(HE30:HE31)</f>
        <v>0</v>
      </c>
      <c r="HF32" s="1380">
        <f t="shared" si="105"/>
        <v>0</v>
      </c>
      <c r="HG32" s="1381">
        <f t="shared" si="105"/>
        <v>0</v>
      </c>
      <c r="HH32" s="1380">
        <f t="shared" si="105"/>
        <v>0</v>
      </c>
      <c r="HI32" s="459">
        <f t="shared" si="105"/>
        <v>0</v>
      </c>
      <c r="HJ32" s="1383">
        <f t="shared" si="105"/>
        <v>0</v>
      </c>
      <c r="HK32" s="1380">
        <f t="shared" si="105"/>
        <v>0</v>
      </c>
      <c r="HL32" s="1382">
        <f t="shared" si="105"/>
        <v>0</v>
      </c>
      <c r="HM32" s="114">
        <f t="shared" si="104"/>
        <v>0</v>
      </c>
      <c r="HN32" s="1383">
        <f t="shared" si="104"/>
        <v>0</v>
      </c>
      <c r="HO32" s="1380">
        <f t="shared" si="104"/>
        <v>0</v>
      </c>
      <c r="HP32" s="1382">
        <f t="shared" si="104"/>
        <v>0</v>
      </c>
      <c r="HQ32" s="117">
        <f t="shared" si="104"/>
        <v>0</v>
      </c>
      <c r="HR32" s="1383">
        <f t="shared" si="104"/>
        <v>0</v>
      </c>
      <c r="HS32" s="1380">
        <f t="shared" si="104"/>
        <v>0</v>
      </c>
      <c r="HT32" s="1382">
        <f t="shared" si="104"/>
        <v>0</v>
      </c>
      <c r="HU32" s="114">
        <f t="shared" ref="HU32:IB32" si="106">SUM(HU30:HU31)</f>
        <v>0</v>
      </c>
      <c r="HV32" s="1383">
        <f t="shared" si="106"/>
        <v>0</v>
      </c>
      <c r="HW32" s="1380">
        <f t="shared" si="106"/>
        <v>0</v>
      </c>
      <c r="HX32" s="1382">
        <f t="shared" si="106"/>
        <v>0</v>
      </c>
      <c r="HY32" s="117">
        <f t="shared" si="106"/>
        <v>0</v>
      </c>
      <c r="HZ32" s="1383">
        <f t="shared" si="106"/>
        <v>0</v>
      </c>
      <c r="IA32" s="1380">
        <f t="shared" si="106"/>
        <v>0</v>
      </c>
      <c r="IB32" s="1382">
        <f t="shared" si="106"/>
        <v>0</v>
      </c>
      <c r="IC32" s="116">
        <f t="shared" si="104"/>
        <v>0</v>
      </c>
      <c r="ID32" s="1380">
        <f t="shared" si="104"/>
        <v>0</v>
      </c>
      <c r="IE32" s="1381">
        <f t="shared" si="104"/>
        <v>0</v>
      </c>
      <c r="IF32" s="1380">
        <f t="shared" si="104"/>
        <v>0</v>
      </c>
      <c r="IG32" s="118">
        <f t="shared" si="104"/>
        <v>0</v>
      </c>
      <c r="IH32" s="1380">
        <f t="shared" si="104"/>
        <v>0</v>
      </c>
      <c r="II32" s="1381">
        <f t="shared" si="104"/>
        <v>0</v>
      </c>
      <c r="IJ32" s="1380">
        <f t="shared" si="104"/>
        <v>0</v>
      </c>
      <c r="IK32" s="116">
        <f t="shared" ref="IK32:IR32" si="107">SUM(IK30:IK31)</f>
        <v>0</v>
      </c>
      <c r="IL32" s="1383">
        <f t="shared" si="107"/>
        <v>0</v>
      </c>
      <c r="IM32" s="1380">
        <f t="shared" si="107"/>
        <v>0</v>
      </c>
      <c r="IN32" s="1382">
        <f t="shared" si="107"/>
        <v>0</v>
      </c>
      <c r="IO32" s="114">
        <f t="shared" si="107"/>
        <v>0</v>
      </c>
      <c r="IP32" s="1383">
        <f t="shared" si="107"/>
        <v>0</v>
      </c>
      <c r="IQ32" s="1380">
        <f t="shared" si="107"/>
        <v>0</v>
      </c>
      <c r="IR32" s="1382">
        <f t="shared" si="107"/>
        <v>0</v>
      </c>
      <c r="IS32" s="114">
        <f t="shared" si="104"/>
        <v>137839400</v>
      </c>
      <c r="IT32" s="1383">
        <f t="shared" si="104"/>
        <v>137839400</v>
      </c>
      <c r="IU32" s="1380">
        <f t="shared" si="104"/>
        <v>0</v>
      </c>
      <c r="IV32" s="1382">
        <f t="shared" si="104"/>
        <v>0</v>
      </c>
      <c r="IW32" s="117">
        <f t="shared" si="104"/>
        <v>56897801.200000003</v>
      </c>
      <c r="IX32" s="1383">
        <f t="shared" si="104"/>
        <v>56897801.200000003</v>
      </c>
      <c r="IY32" s="1380">
        <f t="shared" si="104"/>
        <v>0</v>
      </c>
      <c r="IZ32" s="1381">
        <f t="shared" si="104"/>
        <v>0</v>
      </c>
      <c r="JA32" s="116">
        <f t="shared" si="104"/>
        <v>0</v>
      </c>
      <c r="JB32" s="1359">
        <f t="shared" si="104"/>
        <v>0</v>
      </c>
      <c r="JC32" s="1381">
        <f t="shared" si="104"/>
        <v>0</v>
      </c>
      <c r="JD32" s="1359">
        <f t="shared" si="104"/>
        <v>0</v>
      </c>
      <c r="JE32" s="459">
        <f t="shared" si="104"/>
        <v>0</v>
      </c>
      <c r="JF32" s="1383">
        <f t="shared" si="104"/>
        <v>0</v>
      </c>
      <c r="JG32" s="1380">
        <f t="shared" si="104"/>
        <v>0</v>
      </c>
      <c r="JH32" s="1382">
        <f t="shared" si="104"/>
        <v>0</v>
      </c>
      <c r="JI32" s="116">
        <f t="shared" ref="JI32:JP32" si="108">SUM(JI30:JI31)</f>
        <v>0</v>
      </c>
      <c r="JJ32" s="1359">
        <f t="shared" si="108"/>
        <v>0</v>
      </c>
      <c r="JK32" s="1381">
        <f t="shared" si="108"/>
        <v>0</v>
      </c>
      <c r="JL32" s="1359">
        <f t="shared" si="108"/>
        <v>0</v>
      </c>
      <c r="JM32" s="459">
        <f t="shared" si="108"/>
        <v>0</v>
      </c>
      <c r="JN32" s="1383">
        <f t="shared" si="108"/>
        <v>0</v>
      </c>
      <c r="JO32" s="1383">
        <f t="shared" si="108"/>
        <v>0</v>
      </c>
      <c r="JP32" s="1359">
        <f t="shared" si="108"/>
        <v>0</v>
      </c>
    </row>
    <row r="33" spans="1:276" ht="25.5" customHeight="1" x14ac:dyDescent="0.25">
      <c r="A33" s="96"/>
      <c r="B33" s="125"/>
      <c r="C33" s="1384"/>
      <c r="D33" s="1384"/>
      <c r="E33" s="1384"/>
      <c r="F33" s="125"/>
      <c r="G33" s="1384"/>
      <c r="H33" s="1384"/>
      <c r="I33" s="1384"/>
      <c r="J33" s="105"/>
      <c r="K33" s="1330">
        <f>M33-'Федеральные  средства  по  МО'!D34</f>
        <v>0</v>
      </c>
      <c r="L33" s="1330">
        <f>Q33-'Федеральные  средства  по  МО'!E34</f>
        <v>0</v>
      </c>
      <c r="M33" s="125"/>
      <c r="N33" s="1384"/>
      <c r="O33" s="1384"/>
      <c r="P33" s="1384"/>
      <c r="Q33" s="125"/>
      <c r="R33" s="1384"/>
      <c r="S33" s="1384"/>
      <c r="T33" s="1384"/>
      <c r="U33" s="208"/>
      <c r="V33" s="1384"/>
      <c r="W33" s="1385"/>
      <c r="X33" s="1385"/>
      <c r="Y33" s="125"/>
      <c r="Z33" s="1386"/>
      <c r="AA33" s="1384"/>
      <c r="AB33" s="1385"/>
      <c r="AC33" s="208"/>
      <c r="AD33" s="1386"/>
      <c r="AE33" s="1384"/>
      <c r="AF33" s="1385"/>
      <c r="AG33" s="125"/>
      <c r="AH33" s="1386"/>
      <c r="AI33" s="1384"/>
      <c r="AJ33" s="1385"/>
      <c r="AK33" s="208"/>
      <c r="AL33" s="1386"/>
      <c r="AM33" s="1384"/>
      <c r="AN33" s="1385"/>
      <c r="AO33" s="125"/>
      <c r="AP33" s="1386"/>
      <c r="AQ33" s="1384"/>
      <c r="AR33" s="1385"/>
      <c r="AS33" s="205"/>
      <c r="AT33" s="1384"/>
      <c r="AU33" s="1384"/>
      <c r="AV33" s="1385"/>
      <c r="AW33" s="792"/>
      <c r="AX33" s="1384"/>
      <c r="AY33" s="1387"/>
      <c r="AZ33" s="1384"/>
      <c r="BA33" s="128"/>
      <c r="BB33" s="1384"/>
      <c r="BC33" s="1387"/>
      <c r="BD33" s="1384"/>
      <c r="BE33" s="126"/>
      <c r="BF33" s="1384"/>
      <c r="BG33" s="1384"/>
      <c r="BH33" s="1385"/>
      <c r="BI33" s="128"/>
      <c r="BJ33" s="1384"/>
      <c r="BK33" s="1384"/>
      <c r="BL33" s="1385"/>
      <c r="BM33" s="792"/>
      <c r="BN33" s="1384"/>
      <c r="BO33" s="1384"/>
      <c r="BP33" s="1385"/>
      <c r="BQ33" s="205"/>
      <c r="BR33" s="1384"/>
      <c r="BS33" s="1384"/>
      <c r="BT33" s="1385"/>
      <c r="BU33" s="126"/>
      <c r="BV33" s="1384"/>
      <c r="BW33" s="1384"/>
      <c r="BX33" s="1385"/>
      <c r="BY33" s="128"/>
      <c r="BZ33" s="1386"/>
      <c r="CA33" s="1384"/>
      <c r="CB33" s="1385"/>
      <c r="CC33" s="126"/>
      <c r="CD33" s="1386"/>
      <c r="CE33" s="1384"/>
      <c r="CF33" s="1385"/>
      <c r="CG33" s="128"/>
      <c r="CH33" s="1384"/>
      <c r="CI33" s="1387"/>
      <c r="CJ33" s="1384"/>
      <c r="CK33" s="1434"/>
      <c r="CL33" s="1384"/>
      <c r="CM33" s="1387"/>
      <c r="CN33" s="1384"/>
      <c r="CO33" s="205"/>
      <c r="CP33" s="1386"/>
      <c r="CQ33" s="1384"/>
      <c r="CR33" s="1385"/>
      <c r="CS33" s="126"/>
      <c r="CT33" s="1386"/>
      <c r="CU33" s="1384"/>
      <c r="CV33" s="1385"/>
      <c r="CW33" s="205"/>
      <c r="CX33" s="1386"/>
      <c r="CY33" s="1384"/>
      <c r="CZ33" s="1385"/>
      <c r="DA33" s="126"/>
      <c r="DB33" s="1386"/>
      <c r="DC33" s="1384"/>
      <c r="DD33" s="1385"/>
      <c r="DE33" s="205"/>
      <c r="DF33" s="1386"/>
      <c r="DG33" s="1384"/>
      <c r="DH33" s="1385"/>
      <c r="DI33" s="126"/>
      <c r="DJ33" s="1386"/>
      <c r="DK33" s="1384"/>
      <c r="DL33" s="1385"/>
      <c r="DM33" s="205"/>
      <c r="DN33" s="1386"/>
      <c r="DO33" s="1384"/>
      <c r="DP33" s="1385"/>
      <c r="DQ33" s="126"/>
      <c r="DR33" s="1386"/>
      <c r="DS33" s="1384"/>
      <c r="DT33" s="1385"/>
      <c r="DU33" s="205"/>
      <c r="DV33" s="1386"/>
      <c r="DW33" s="1384"/>
      <c r="DX33" s="1385"/>
      <c r="DY33" s="126"/>
      <c r="DZ33" s="1386"/>
      <c r="EA33" s="1384"/>
      <c r="EB33" s="1385"/>
      <c r="EC33" s="128"/>
      <c r="ED33" s="1386"/>
      <c r="EE33" s="1384"/>
      <c r="EF33" s="1385"/>
      <c r="EG33" s="126"/>
      <c r="EH33" s="1386"/>
      <c r="EI33" s="1384"/>
      <c r="EJ33" s="1385"/>
      <c r="EK33" s="205"/>
      <c r="EL33" s="1386"/>
      <c r="EM33" s="1384"/>
      <c r="EN33" s="1385"/>
      <c r="EO33" s="126"/>
      <c r="EP33" s="1386"/>
      <c r="EQ33" s="1384"/>
      <c r="ER33" s="1384"/>
      <c r="ES33" s="128"/>
      <c r="ET33" s="1384"/>
      <c r="EU33" s="1387"/>
      <c r="EV33" s="1384"/>
      <c r="EW33" s="1434"/>
      <c r="EX33" s="1384"/>
      <c r="EY33" s="1387"/>
      <c r="EZ33" s="1384"/>
      <c r="FA33" s="205"/>
      <c r="FB33" s="1386"/>
      <c r="FC33" s="1384"/>
      <c r="FD33" s="1385"/>
      <c r="FE33" s="126"/>
      <c r="FF33" s="1386"/>
      <c r="FG33" s="1384"/>
      <c r="FH33" s="1385"/>
      <c r="FI33" s="205"/>
      <c r="FJ33" s="1386"/>
      <c r="FK33" s="1384"/>
      <c r="FL33" s="1385"/>
      <c r="FM33" s="126"/>
      <c r="FN33" s="1386"/>
      <c r="FO33" s="1384"/>
      <c r="FP33" s="1385"/>
      <c r="FQ33" s="205"/>
      <c r="FR33" s="1386"/>
      <c r="FS33" s="1384"/>
      <c r="FT33" s="1385"/>
      <c r="FU33" s="126"/>
      <c r="FV33" s="1386"/>
      <c r="FW33" s="1384"/>
      <c r="FX33" s="1385"/>
      <c r="FY33" s="128"/>
      <c r="FZ33" s="1386"/>
      <c r="GA33" s="1384"/>
      <c r="GB33" s="1385"/>
      <c r="GC33" s="126"/>
      <c r="GD33" s="1384"/>
      <c r="GE33" s="1385"/>
      <c r="GF33" s="1385"/>
      <c r="GG33" s="205"/>
      <c r="GH33" s="1386"/>
      <c r="GI33" s="1384"/>
      <c r="GJ33" s="1385"/>
      <c r="GK33" s="126"/>
      <c r="GL33" s="1386"/>
      <c r="GM33" s="1384"/>
      <c r="GN33" s="1385"/>
      <c r="GO33" s="128"/>
      <c r="GP33" s="1386"/>
      <c r="GQ33" s="1384"/>
      <c r="GR33" s="1385"/>
      <c r="GS33" s="126"/>
      <c r="GT33" s="1386"/>
      <c r="GU33" s="1384"/>
      <c r="GV33" s="1385"/>
      <c r="GW33" s="205"/>
      <c r="GX33" s="1386"/>
      <c r="GY33" s="1384"/>
      <c r="GZ33" s="1385"/>
      <c r="HA33" s="126"/>
      <c r="HB33" s="1386"/>
      <c r="HC33" s="1384"/>
      <c r="HD33" s="1387"/>
      <c r="HE33" s="205"/>
      <c r="HF33" s="1384"/>
      <c r="HG33" s="1387"/>
      <c r="HH33" s="1384"/>
      <c r="HI33" s="1388"/>
      <c r="HJ33" s="1386"/>
      <c r="HK33" s="1384"/>
      <c r="HL33" s="1385"/>
      <c r="HM33" s="127"/>
      <c r="HN33" s="1386"/>
      <c r="HO33" s="1384"/>
      <c r="HP33" s="1385"/>
      <c r="HQ33" s="126"/>
      <c r="HR33" s="1386"/>
      <c r="HS33" s="1384"/>
      <c r="HT33" s="1385"/>
      <c r="HU33" s="127"/>
      <c r="HV33" s="1386"/>
      <c r="HW33" s="1384"/>
      <c r="HX33" s="1385"/>
      <c r="HY33" s="126"/>
      <c r="HZ33" s="1386"/>
      <c r="IA33" s="1384"/>
      <c r="IB33" s="1385"/>
      <c r="IC33" s="205"/>
      <c r="ID33" s="1384"/>
      <c r="IE33" s="1387"/>
      <c r="IF33" s="1384"/>
      <c r="IG33" s="1434"/>
      <c r="IH33" s="1384"/>
      <c r="II33" s="1387"/>
      <c r="IJ33" s="1384"/>
      <c r="IK33" s="205"/>
      <c r="IL33" s="1386"/>
      <c r="IM33" s="1384"/>
      <c r="IN33" s="1385"/>
      <c r="IO33" s="126"/>
      <c r="IP33" s="1386"/>
      <c r="IQ33" s="1384"/>
      <c r="IR33" s="1385"/>
      <c r="IS33" s="127"/>
      <c r="IT33" s="1386"/>
      <c r="IU33" s="1384"/>
      <c r="IV33" s="1385"/>
      <c r="IW33" s="126"/>
      <c r="IX33" s="1386"/>
      <c r="IY33" s="1384"/>
      <c r="IZ33" s="1385"/>
      <c r="JA33" s="127"/>
      <c r="JB33" s="1386"/>
      <c r="JC33" s="1384"/>
      <c r="JD33" s="1385"/>
      <c r="JE33" s="126"/>
      <c r="JF33" s="1386"/>
      <c r="JG33" s="1384"/>
      <c r="JH33" s="1385"/>
      <c r="JI33" s="127"/>
      <c r="JJ33" s="1386"/>
      <c r="JK33" s="1384"/>
      <c r="JL33" s="1385"/>
      <c r="JM33" s="126"/>
      <c r="JN33" s="1386"/>
      <c r="JO33" s="1384"/>
      <c r="JP33" s="1385"/>
    </row>
    <row r="34" spans="1:276" ht="25.5" customHeight="1" thickBot="1" x14ac:dyDescent="0.3">
      <c r="A34" s="106"/>
      <c r="B34" s="130"/>
      <c r="C34" s="1389"/>
      <c r="D34" s="1389"/>
      <c r="E34" s="1389"/>
      <c r="F34" s="130"/>
      <c r="G34" s="1389"/>
      <c r="H34" s="1389"/>
      <c r="I34" s="1389"/>
      <c r="J34" s="105"/>
      <c r="K34" s="1330">
        <f>M34-'Федеральные  средства  по  МО'!D35</f>
        <v>0</v>
      </c>
      <c r="L34" s="1330">
        <f>Q34-'Федеральные  средства  по  МО'!E35</f>
        <v>0</v>
      </c>
      <c r="M34" s="130"/>
      <c r="N34" s="1389"/>
      <c r="O34" s="1389"/>
      <c r="P34" s="1389"/>
      <c r="Q34" s="130"/>
      <c r="R34" s="1389"/>
      <c r="S34" s="1389"/>
      <c r="T34" s="1389"/>
      <c r="U34" s="209"/>
      <c r="V34" s="1389"/>
      <c r="W34" s="1390"/>
      <c r="X34" s="1390"/>
      <c r="Y34" s="130"/>
      <c r="Z34" s="1391"/>
      <c r="AA34" s="1389"/>
      <c r="AB34" s="1390"/>
      <c r="AC34" s="209"/>
      <c r="AD34" s="1391"/>
      <c r="AE34" s="1389"/>
      <c r="AF34" s="1390"/>
      <c r="AG34" s="130"/>
      <c r="AH34" s="1391"/>
      <c r="AI34" s="1389"/>
      <c r="AJ34" s="1390"/>
      <c r="AK34" s="209"/>
      <c r="AL34" s="1391"/>
      <c r="AM34" s="1389"/>
      <c r="AN34" s="1390"/>
      <c r="AO34" s="130"/>
      <c r="AP34" s="1391"/>
      <c r="AQ34" s="1389"/>
      <c r="AR34" s="1390"/>
      <c r="AS34" s="206"/>
      <c r="AT34" s="1389"/>
      <c r="AU34" s="1389"/>
      <c r="AV34" s="1390"/>
      <c r="AW34" s="206"/>
      <c r="AX34" s="1389"/>
      <c r="AY34" s="1392"/>
      <c r="AZ34" s="1389"/>
      <c r="BA34" s="132"/>
      <c r="BB34" s="1389"/>
      <c r="BC34" s="1392"/>
      <c r="BD34" s="1389"/>
      <c r="BE34" s="131"/>
      <c r="BF34" s="1389"/>
      <c r="BG34" s="1389"/>
      <c r="BH34" s="1390"/>
      <c r="BI34" s="132"/>
      <c r="BJ34" s="1389"/>
      <c r="BK34" s="1389"/>
      <c r="BL34" s="1390"/>
      <c r="BM34" s="206"/>
      <c r="BN34" s="1389"/>
      <c r="BO34" s="1389"/>
      <c r="BP34" s="1390"/>
      <c r="BQ34" s="206"/>
      <c r="BR34" s="1389"/>
      <c r="BS34" s="1389"/>
      <c r="BT34" s="1390"/>
      <c r="BU34" s="131"/>
      <c r="BV34" s="1389"/>
      <c r="BW34" s="1389"/>
      <c r="BX34" s="1390"/>
      <c r="BY34" s="132"/>
      <c r="BZ34" s="1391"/>
      <c r="CA34" s="1389"/>
      <c r="CB34" s="1390"/>
      <c r="CC34" s="131"/>
      <c r="CD34" s="1391"/>
      <c r="CE34" s="1389"/>
      <c r="CF34" s="1390"/>
      <c r="CG34" s="132"/>
      <c r="CH34" s="1389"/>
      <c r="CI34" s="1392"/>
      <c r="CJ34" s="1389"/>
      <c r="CK34" s="132"/>
      <c r="CL34" s="1389"/>
      <c r="CM34" s="1392"/>
      <c r="CN34" s="1389"/>
      <c r="CO34" s="206"/>
      <c r="CP34" s="1391"/>
      <c r="CQ34" s="1389"/>
      <c r="CR34" s="1390"/>
      <c r="CS34" s="131"/>
      <c r="CT34" s="1391"/>
      <c r="CU34" s="1389"/>
      <c r="CV34" s="1390"/>
      <c r="CW34" s="206"/>
      <c r="CX34" s="1391"/>
      <c r="CY34" s="1389"/>
      <c r="CZ34" s="1390"/>
      <c r="DA34" s="131"/>
      <c r="DB34" s="1391"/>
      <c r="DC34" s="1389"/>
      <c r="DD34" s="1390"/>
      <c r="DE34" s="206"/>
      <c r="DF34" s="1391"/>
      <c r="DG34" s="1389"/>
      <c r="DH34" s="1390"/>
      <c r="DI34" s="131"/>
      <c r="DJ34" s="1391"/>
      <c r="DK34" s="1389"/>
      <c r="DL34" s="1390"/>
      <c r="DM34" s="206"/>
      <c r="DN34" s="1391"/>
      <c r="DO34" s="1389"/>
      <c r="DP34" s="1390"/>
      <c r="DQ34" s="131"/>
      <c r="DR34" s="1391"/>
      <c r="DS34" s="1389"/>
      <c r="DT34" s="1390"/>
      <c r="DU34" s="206"/>
      <c r="DV34" s="1391"/>
      <c r="DW34" s="1389"/>
      <c r="DX34" s="1390"/>
      <c r="DY34" s="131"/>
      <c r="DZ34" s="1391"/>
      <c r="EA34" s="1389"/>
      <c r="EB34" s="1390"/>
      <c r="EC34" s="132"/>
      <c r="ED34" s="1391"/>
      <c r="EE34" s="1389"/>
      <c r="EF34" s="1390"/>
      <c r="EG34" s="131"/>
      <c r="EH34" s="1391"/>
      <c r="EI34" s="1389"/>
      <c r="EJ34" s="1390"/>
      <c r="EK34" s="206"/>
      <c r="EL34" s="1391"/>
      <c r="EM34" s="1389"/>
      <c r="EN34" s="1390"/>
      <c r="EO34" s="131"/>
      <c r="EP34" s="1391"/>
      <c r="EQ34" s="1389"/>
      <c r="ER34" s="1389"/>
      <c r="ES34" s="132"/>
      <c r="ET34" s="1389"/>
      <c r="EU34" s="1392"/>
      <c r="EV34" s="1389"/>
      <c r="EW34" s="132"/>
      <c r="EX34" s="1389"/>
      <c r="EY34" s="1392"/>
      <c r="EZ34" s="1389"/>
      <c r="FA34" s="206"/>
      <c r="FB34" s="1391"/>
      <c r="FC34" s="1389"/>
      <c r="FD34" s="1390"/>
      <c r="FE34" s="131"/>
      <c r="FF34" s="1391"/>
      <c r="FG34" s="1389"/>
      <c r="FH34" s="1390"/>
      <c r="FI34" s="206"/>
      <c r="FJ34" s="1391"/>
      <c r="FK34" s="1389"/>
      <c r="FL34" s="1390"/>
      <c r="FM34" s="131"/>
      <c r="FN34" s="1391"/>
      <c r="FO34" s="1389"/>
      <c r="FP34" s="1390"/>
      <c r="FQ34" s="206"/>
      <c r="FR34" s="1391"/>
      <c r="FS34" s="1389"/>
      <c r="FT34" s="1390"/>
      <c r="FU34" s="131"/>
      <c r="FV34" s="1391"/>
      <c r="FW34" s="1389"/>
      <c r="FX34" s="1390"/>
      <c r="FY34" s="132"/>
      <c r="FZ34" s="1391"/>
      <c r="GA34" s="1389"/>
      <c r="GB34" s="1390"/>
      <c r="GC34" s="131"/>
      <c r="GD34" s="1389"/>
      <c r="GE34" s="1390"/>
      <c r="GF34" s="1390"/>
      <c r="GG34" s="206"/>
      <c r="GH34" s="1391"/>
      <c r="GI34" s="1389"/>
      <c r="GJ34" s="1390"/>
      <c r="GK34" s="131"/>
      <c r="GL34" s="1391"/>
      <c r="GM34" s="1389"/>
      <c r="GN34" s="1390"/>
      <c r="GO34" s="132"/>
      <c r="GP34" s="1391"/>
      <c r="GQ34" s="1389"/>
      <c r="GR34" s="1390"/>
      <c r="GS34" s="131"/>
      <c r="GT34" s="1391"/>
      <c r="GU34" s="1389"/>
      <c r="GV34" s="1390"/>
      <c r="GW34" s="206"/>
      <c r="GX34" s="1391"/>
      <c r="GY34" s="1389"/>
      <c r="GZ34" s="1390"/>
      <c r="HA34" s="131"/>
      <c r="HB34" s="1391"/>
      <c r="HC34" s="1389"/>
      <c r="HD34" s="1392"/>
      <c r="HE34" s="206"/>
      <c r="HF34" s="1389"/>
      <c r="HG34" s="1392"/>
      <c r="HH34" s="1389"/>
      <c r="HI34" s="1393"/>
      <c r="HJ34" s="1391"/>
      <c r="HK34" s="1389"/>
      <c r="HL34" s="1390"/>
      <c r="HM34" s="131"/>
      <c r="HN34" s="1391"/>
      <c r="HO34" s="1389"/>
      <c r="HP34" s="1390"/>
      <c r="HQ34" s="131"/>
      <c r="HR34" s="1391"/>
      <c r="HS34" s="1389"/>
      <c r="HT34" s="1390"/>
      <c r="HU34" s="131"/>
      <c r="HV34" s="1391"/>
      <c r="HW34" s="1389"/>
      <c r="HX34" s="1390"/>
      <c r="HY34" s="131"/>
      <c r="HZ34" s="1391"/>
      <c r="IA34" s="1389"/>
      <c r="IB34" s="1390"/>
      <c r="IC34" s="206"/>
      <c r="ID34" s="1389"/>
      <c r="IE34" s="1392"/>
      <c r="IF34" s="1389"/>
      <c r="IG34" s="132"/>
      <c r="IH34" s="1389"/>
      <c r="II34" s="1392"/>
      <c r="IJ34" s="1389"/>
      <c r="IK34" s="206"/>
      <c r="IL34" s="1391"/>
      <c r="IM34" s="1389"/>
      <c r="IN34" s="1390"/>
      <c r="IO34" s="131"/>
      <c r="IP34" s="1391"/>
      <c r="IQ34" s="1389"/>
      <c r="IR34" s="1390"/>
      <c r="IS34" s="131"/>
      <c r="IT34" s="1391"/>
      <c r="IU34" s="1389"/>
      <c r="IV34" s="1390"/>
      <c r="IW34" s="131"/>
      <c r="IX34" s="1391"/>
      <c r="IY34" s="1389"/>
      <c r="IZ34" s="1390"/>
      <c r="JA34" s="131"/>
      <c r="JB34" s="1391"/>
      <c r="JC34" s="1389"/>
      <c r="JD34" s="1390"/>
      <c r="JE34" s="131"/>
      <c r="JF34" s="1391"/>
      <c r="JG34" s="1389"/>
      <c r="JH34" s="1390"/>
      <c r="JI34" s="131"/>
      <c r="JJ34" s="1391"/>
      <c r="JK34" s="1389"/>
      <c r="JL34" s="1390"/>
      <c r="JM34" s="131"/>
      <c r="JN34" s="1391"/>
      <c r="JO34" s="1389"/>
      <c r="JP34" s="1390"/>
    </row>
    <row r="35" spans="1:276" ht="25.5" customHeight="1" thickBot="1" x14ac:dyDescent="0.3">
      <c r="A35" s="160" t="s">
        <v>36</v>
      </c>
      <c r="B35" s="110">
        <f t="shared" ref="B35:I35" si="109">B28+B32</f>
        <v>1905906647.1300001</v>
      </c>
      <c r="C35" s="1394">
        <f t="shared" si="109"/>
        <v>1700661411.8799999</v>
      </c>
      <c r="D35" s="1394">
        <f t="shared" si="109"/>
        <v>98160355.589999989</v>
      </c>
      <c r="E35" s="1394">
        <f t="shared" si="109"/>
        <v>107084879.65999998</v>
      </c>
      <c r="F35" s="110">
        <f t="shared" si="109"/>
        <v>989765451.13999999</v>
      </c>
      <c r="G35" s="1394">
        <f t="shared" si="109"/>
        <v>877519010.01000011</v>
      </c>
      <c r="H35" s="1394">
        <f t="shared" si="109"/>
        <v>33561798.979999997</v>
      </c>
      <c r="I35" s="1394">
        <f t="shared" si="109"/>
        <v>78684642.149999991</v>
      </c>
      <c r="J35" s="105"/>
      <c r="K35" s="1330">
        <f>M35-'Федеральные  средства  по  МО'!D36</f>
        <v>0</v>
      </c>
      <c r="L35" s="1330">
        <f>Q35-'Федеральные  средства  по  МО'!E36</f>
        <v>0</v>
      </c>
      <c r="M35" s="110">
        <f t="shared" ref="M35:BH35" si="110">M28+M32</f>
        <v>2704169923.6500001</v>
      </c>
      <c r="N35" s="1394">
        <f t="shared" ref="N35:T35" si="111">N28+N32</f>
        <v>2307763391.2199998</v>
      </c>
      <c r="O35" s="1394">
        <f t="shared" si="111"/>
        <v>102448752.14</v>
      </c>
      <c r="P35" s="1394">
        <f t="shared" si="111"/>
        <v>293957780.29000002</v>
      </c>
      <c r="Q35" s="110">
        <f t="shared" si="111"/>
        <v>1631552266.96</v>
      </c>
      <c r="R35" s="1394">
        <f t="shared" si="111"/>
        <v>1358481649.5100002</v>
      </c>
      <c r="S35" s="1394">
        <f t="shared" si="111"/>
        <v>36992516.229999997</v>
      </c>
      <c r="T35" s="1394">
        <f t="shared" si="111"/>
        <v>236078101.22000003</v>
      </c>
      <c r="U35" s="207">
        <f t="shared" si="110"/>
        <v>0</v>
      </c>
      <c r="V35" s="1395">
        <f t="shared" si="110"/>
        <v>0</v>
      </c>
      <c r="W35" s="1396">
        <f t="shared" si="110"/>
        <v>0</v>
      </c>
      <c r="X35" s="1396">
        <f t="shared" si="110"/>
        <v>0</v>
      </c>
      <c r="Y35" s="134">
        <f t="shared" si="110"/>
        <v>0</v>
      </c>
      <c r="Z35" s="1397">
        <f t="shared" si="110"/>
        <v>0</v>
      </c>
      <c r="AA35" s="1395">
        <f t="shared" si="110"/>
        <v>0</v>
      </c>
      <c r="AB35" s="1396">
        <f t="shared" si="110"/>
        <v>0</v>
      </c>
      <c r="AC35" s="207">
        <f t="shared" si="110"/>
        <v>798263276.51999986</v>
      </c>
      <c r="AD35" s="1397">
        <f t="shared" si="110"/>
        <v>607101979.33999991</v>
      </c>
      <c r="AE35" s="1395">
        <f t="shared" si="110"/>
        <v>4288396.5500000007</v>
      </c>
      <c r="AF35" s="1396">
        <f t="shared" si="110"/>
        <v>186872900.63000003</v>
      </c>
      <c r="AG35" s="134">
        <f t="shared" si="110"/>
        <v>641786815.81999993</v>
      </c>
      <c r="AH35" s="1397">
        <f t="shared" si="110"/>
        <v>480962639.49999994</v>
      </c>
      <c r="AI35" s="1395">
        <f t="shared" si="110"/>
        <v>3430717.25</v>
      </c>
      <c r="AJ35" s="1396">
        <f t="shared" si="110"/>
        <v>157393459.07000002</v>
      </c>
      <c r="AK35" s="207">
        <f t="shared" si="110"/>
        <v>296336647.06</v>
      </c>
      <c r="AL35" s="1397">
        <f t="shared" si="110"/>
        <v>296336647.06</v>
      </c>
      <c r="AM35" s="1395">
        <f t="shared" si="110"/>
        <v>0</v>
      </c>
      <c r="AN35" s="1396">
        <f t="shared" si="110"/>
        <v>0</v>
      </c>
      <c r="AO35" s="134">
        <f t="shared" si="110"/>
        <v>138180933.74000001</v>
      </c>
      <c r="AP35" s="1397">
        <f t="shared" ref="AP35" si="112">AP28+AP32</f>
        <v>138180933.74000001</v>
      </c>
      <c r="AQ35" s="1395">
        <f t="shared" si="110"/>
        <v>0</v>
      </c>
      <c r="AR35" s="1396">
        <f t="shared" si="110"/>
        <v>0</v>
      </c>
      <c r="AS35" s="136">
        <f t="shared" si="110"/>
        <v>0</v>
      </c>
      <c r="AT35" s="1395">
        <f t="shared" si="110"/>
        <v>0</v>
      </c>
      <c r="AU35" s="1395">
        <f t="shared" si="110"/>
        <v>0</v>
      </c>
      <c r="AV35" s="1396">
        <f t="shared" si="110"/>
        <v>0</v>
      </c>
      <c r="AW35" s="136">
        <f t="shared" si="110"/>
        <v>0</v>
      </c>
      <c r="AX35" s="1395">
        <f t="shared" si="110"/>
        <v>0</v>
      </c>
      <c r="AY35" s="1398">
        <f t="shared" si="110"/>
        <v>0</v>
      </c>
      <c r="AZ35" s="1395">
        <f t="shared" si="110"/>
        <v>0</v>
      </c>
      <c r="BA35" s="138">
        <f t="shared" si="110"/>
        <v>0</v>
      </c>
      <c r="BB35" s="1395">
        <f t="shared" si="110"/>
        <v>0</v>
      </c>
      <c r="BC35" s="1398">
        <f t="shared" si="110"/>
        <v>0</v>
      </c>
      <c r="BD35" s="1395">
        <f t="shared" si="110"/>
        <v>0</v>
      </c>
      <c r="BE35" s="137">
        <f t="shared" si="110"/>
        <v>0</v>
      </c>
      <c r="BF35" s="1395">
        <f t="shared" si="110"/>
        <v>0</v>
      </c>
      <c r="BG35" s="1395">
        <f t="shared" si="110"/>
        <v>0</v>
      </c>
      <c r="BH35" s="1396">
        <f t="shared" si="110"/>
        <v>0</v>
      </c>
      <c r="BI35" s="138">
        <f>BI28+BI32</f>
        <v>5371400</v>
      </c>
      <c r="BJ35" s="1395">
        <f t="shared" ref="BJ35:BL35" si="113">BJ28+BJ32</f>
        <v>5371400</v>
      </c>
      <c r="BK35" s="1395">
        <f t="shared" si="113"/>
        <v>0</v>
      </c>
      <c r="BL35" s="1396">
        <f t="shared" si="113"/>
        <v>0</v>
      </c>
      <c r="BM35" s="136">
        <f>BM28+BM32</f>
        <v>2685699.99</v>
      </c>
      <c r="BN35" s="1395">
        <f t="shared" ref="BN35:EB35" si="114">BN28+BN32</f>
        <v>2685699.99</v>
      </c>
      <c r="BO35" s="1395">
        <f t="shared" si="114"/>
        <v>0</v>
      </c>
      <c r="BP35" s="1396">
        <f t="shared" si="114"/>
        <v>0</v>
      </c>
      <c r="BQ35" s="136">
        <f t="shared" si="114"/>
        <v>4611300</v>
      </c>
      <c r="BR35" s="1395">
        <f t="shared" si="114"/>
        <v>4611300</v>
      </c>
      <c r="BS35" s="1395">
        <f t="shared" si="114"/>
        <v>0</v>
      </c>
      <c r="BT35" s="1396">
        <f t="shared" si="114"/>
        <v>0</v>
      </c>
      <c r="BU35" s="137">
        <f t="shared" si="114"/>
        <v>457273.29</v>
      </c>
      <c r="BV35" s="1395">
        <f t="shared" si="114"/>
        <v>457273.29</v>
      </c>
      <c r="BW35" s="1395">
        <f t="shared" si="114"/>
        <v>0</v>
      </c>
      <c r="BX35" s="1396">
        <f t="shared" si="114"/>
        <v>0</v>
      </c>
      <c r="BY35" s="138">
        <f t="shared" si="114"/>
        <v>0</v>
      </c>
      <c r="BZ35" s="1397">
        <f t="shared" si="114"/>
        <v>0</v>
      </c>
      <c r="CA35" s="1395">
        <f t="shared" si="114"/>
        <v>0</v>
      </c>
      <c r="CB35" s="1396">
        <f t="shared" si="114"/>
        <v>0</v>
      </c>
      <c r="CC35" s="137">
        <f t="shared" si="114"/>
        <v>0</v>
      </c>
      <c r="CD35" s="1397">
        <f t="shared" si="114"/>
        <v>0</v>
      </c>
      <c r="CE35" s="1395">
        <f t="shared" si="114"/>
        <v>0</v>
      </c>
      <c r="CF35" s="1396">
        <f t="shared" si="114"/>
        <v>0</v>
      </c>
      <c r="CG35" s="138">
        <f t="shared" ref="CG35:CN35" si="115">CG28+CG32</f>
        <v>20000000</v>
      </c>
      <c r="CH35" s="1395">
        <f t="shared" si="115"/>
        <v>20000000</v>
      </c>
      <c r="CI35" s="1398">
        <f t="shared" si="115"/>
        <v>0</v>
      </c>
      <c r="CJ35" s="1395">
        <f t="shared" si="115"/>
        <v>0</v>
      </c>
      <c r="CK35" s="138">
        <f t="shared" si="115"/>
        <v>0</v>
      </c>
      <c r="CL35" s="1395">
        <f t="shared" si="115"/>
        <v>0</v>
      </c>
      <c r="CM35" s="1398">
        <f t="shared" si="115"/>
        <v>0</v>
      </c>
      <c r="CN35" s="1395">
        <f t="shared" si="115"/>
        <v>0</v>
      </c>
      <c r="CO35" s="136">
        <f t="shared" si="114"/>
        <v>25000000</v>
      </c>
      <c r="CP35" s="1397">
        <f t="shared" si="114"/>
        <v>25000000</v>
      </c>
      <c r="CQ35" s="1395">
        <f t="shared" si="114"/>
        <v>0</v>
      </c>
      <c r="CR35" s="1396">
        <f t="shared" si="114"/>
        <v>0</v>
      </c>
      <c r="CS35" s="137">
        <f t="shared" si="114"/>
        <v>25000000</v>
      </c>
      <c r="CT35" s="1397">
        <f t="shared" si="114"/>
        <v>25000000</v>
      </c>
      <c r="CU35" s="1395">
        <f t="shared" si="114"/>
        <v>0</v>
      </c>
      <c r="CV35" s="1396">
        <f t="shared" si="114"/>
        <v>0</v>
      </c>
      <c r="CW35" s="136">
        <f t="shared" si="114"/>
        <v>44645700</v>
      </c>
      <c r="CX35" s="1397">
        <f t="shared" si="114"/>
        <v>44645700</v>
      </c>
      <c r="CY35" s="1395">
        <f t="shared" si="114"/>
        <v>0</v>
      </c>
      <c r="CZ35" s="1396">
        <f t="shared" si="114"/>
        <v>0</v>
      </c>
      <c r="DA35" s="137">
        <f t="shared" si="114"/>
        <v>44645700</v>
      </c>
      <c r="DB35" s="1397">
        <f t="shared" si="114"/>
        <v>44645700</v>
      </c>
      <c r="DC35" s="1395">
        <f t="shared" si="114"/>
        <v>0</v>
      </c>
      <c r="DD35" s="1396">
        <f t="shared" si="114"/>
        <v>0</v>
      </c>
      <c r="DE35" s="136">
        <f t="shared" si="114"/>
        <v>170569700</v>
      </c>
      <c r="DF35" s="1397">
        <f t="shared" si="114"/>
        <v>170569700</v>
      </c>
      <c r="DG35" s="1395">
        <f t="shared" si="114"/>
        <v>0</v>
      </c>
      <c r="DH35" s="1396">
        <f t="shared" si="114"/>
        <v>0</v>
      </c>
      <c r="DI35" s="137">
        <f t="shared" si="114"/>
        <v>78230722.010000005</v>
      </c>
      <c r="DJ35" s="1397">
        <f t="shared" ref="DJ35" si="116">DJ28+DJ32</f>
        <v>78230722.010000005</v>
      </c>
      <c r="DK35" s="1395">
        <f t="shared" si="114"/>
        <v>0</v>
      </c>
      <c r="DL35" s="1396">
        <f t="shared" si="114"/>
        <v>0</v>
      </c>
      <c r="DM35" s="136">
        <f t="shared" si="114"/>
        <v>44878700</v>
      </c>
      <c r="DN35" s="1397">
        <f t="shared" si="114"/>
        <v>36999000</v>
      </c>
      <c r="DO35" s="1395">
        <f t="shared" si="114"/>
        <v>0</v>
      </c>
      <c r="DP35" s="1396">
        <f t="shared" si="114"/>
        <v>7879700</v>
      </c>
      <c r="DQ35" s="137">
        <f t="shared" si="114"/>
        <v>34773463.049999997</v>
      </c>
      <c r="DR35" s="1397">
        <f t="shared" si="114"/>
        <v>34773463.049999997</v>
      </c>
      <c r="DS35" s="1395">
        <f t="shared" si="114"/>
        <v>0</v>
      </c>
      <c r="DT35" s="1396">
        <f t="shared" si="114"/>
        <v>0</v>
      </c>
      <c r="DU35" s="136">
        <f t="shared" si="114"/>
        <v>10550900</v>
      </c>
      <c r="DV35" s="1397">
        <f t="shared" si="114"/>
        <v>10550900</v>
      </c>
      <c r="DW35" s="1395">
        <f t="shared" si="114"/>
        <v>0</v>
      </c>
      <c r="DX35" s="1396">
        <f t="shared" si="114"/>
        <v>0</v>
      </c>
      <c r="DY35" s="137">
        <f t="shared" si="114"/>
        <v>8036778.5099999998</v>
      </c>
      <c r="DZ35" s="1397">
        <f t="shared" si="114"/>
        <v>8036778.5099999998</v>
      </c>
      <c r="EA35" s="1395">
        <f t="shared" si="114"/>
        <v>0</v>
      </c>
      <c r="EB35" s="1396">
        <f t="shared" si="114"/>
        <v>0</v>
      </c>
      <c r="EC35" s="138">
        <f>EC28+EC32</f>
        <v>3003700</v>
      </c>
      <c r="ED35" s="1397">
        <f t="shared" ref="ED35:EF35" si="117">ED28+ED32</f>
        <v>0</v>
      </c>
      <c r="EE35" s="1395">
        <f t="shared" si="117"/>
        <v>3003700</v>
      </c>
      <c r="EF35" s="1396">
        <f t="shared" si="117"/>
        <v>0</v>
      </c>
      <c r="EG35" s="137">
        <f>EG28+EG32</f>
        <v>1414273.3299999998</v>
      </c>
      <c r="EH35" s="1397">
        <f t="shared" ref="EH35:EJ35" si="118">EH28+EH32</f>
        <v>0</v>
      </c>
      <c r="EI35" s="1395">
        <f t="shared" si="118"/>
        <v>1414273.3299999998</v>
      </c>
      <c r="EJ35" s="1396">
        <f t="shared" si="118"/>
        <v>0</v>
      </c>
      <c r="EK35" s="136">
        <f>EK28+EK32</f>
        <v>2692900</v>
      </c>
      <c r="EL35" s="1397">
        <f t="shared" ref="EL35:EN35" si="119">EL28+EL32</f>
        <v>2692900</v>
      </c>
      <c r="EM35" s="1395">
        <f t="shared" si="119"/>
        <v>0</v>
      </c>
      <c r="EN35" s="1396">
        <f t="shared" si="119"/>
        <v>0</v>
      </c>
      <c r="EO35" s="137">
        <f>EO28+EO32</f>
        <v>2692900</v>
      </c>
      <c r="EP35" s="1397">
        <f t="shared" ref="EP35:ER35" si="120">EP28+EP32</f>
        <v>2692900</v>
      </c>
      <c r="EQ35" s="1395">
        <f t="shared" si="120"/>
        <v>0</v>
      </c>
      <c r="ER35" s="1395">
        <f t="shared" si="120"/>
        <v>0</v>
      </c>
      <c r="ES35" s="138">
        <f>ES28+ES32</f>
        <v>15837199.900000002</v>
      </c>
      <c r="ET35" s="1395">
        <f t="shared" ref="ET35:EV35" si="121">ET28+ET32</f>
        <v>5495486.8199999994</v>
      </c>
      <c r="EU35" s="1398">
        <f t="shared" si="121"/>
        <v>8278015.5900000008</v>
      </c>
      <c r="EV35" s="1395">
        <f t="shared" si="121"/>
        <v>2063697.49</v>
      </c>
      <c r="EW35" s="138">
        <f>EW28+EW32</f>
        <v>13635713.570000002</v>
      </c>
      <c r="EX35" s="1395">
        <f t="shared" ref="EX35:EZ35" si="122">EX28+EX32</f>
        <v>4832249.3999999994</v>
      </c>
      <c r="EY35" s="1398">
        <f t="shared" si="122"/>
        <v>7536325.5200000005</v>
      </c>
      <c r="EZ35" s="1395">
        <f t="shared" si="122"/>
        <v>1267138.6499999999</v>
      </c>
      <c r="FA35" s="136">
        <f>FA28+FA32</f>
        <v>21705700</v>
      </c>
      <c r="FB35" s="1397">
        <f t="shared" ref="FB35:FD35" si="123">FB28+FB32</f>
        <v>0</v>
      </c>
      <c r="FC35" s="1395">
        <f t="shared" si="123"/>
        <v>21705700</v>
      </c>
      <c r="FD35" s="1396">
        <f t="shared" si="123"/>
        <v>0</v>
      </c>
      <c r="FE35" s="137">
        <f>FE28+FE32</f>
        <v>2592884.21</v>
      </c>
      <c r="FF35" s="1397">
        <f t="shared" ref="FF35:JH35" si="124">FF28+FF32</f>
        <v>0</v>
      </c>
      <c r="FG35" s="1395">
        <f t="shared" si="124"/>
        <v>2592884.21</v>
      </c>
      <c r="FH35" s="1396">
        <f t="shared" si="124"/>
        <v>0</v>
      </c>
      <c r="FI35" s="136">
        <f>FI28+FI32</f>
        <v>35012200</v>
      </c>
      <c r="FJ35" s="1397">
        <f t="shared" ref="FJ35:FL35" si="125">FJ28+FJ32</f>
        <v>35012200</v>
      </c>
      <c r="FK35" s="1395">
        <f t="shared" si="125"/>
        <v>0</v>
      </c>
      <c r="FL35" s="1396">
        <f t="shared" si="125"/>
        <v>0</v>
      </c>
      <c r="FM35" s="137">
        <f>FM28+FM32</f>
        <v>34883116.660000004</v>
      </c>
      <c r="FN35" s="1397">
        <f t="shared" ref="FN35:FP35" si="126">FN28+FN32</f>
        <v>34883116.660000004</v>
      </c>
      <c r="FO35" s="1395">
        <f t="shared" si="126"/>
        <v>0</v>
      </c>
      <c r="FP35" s="1396">
        <f t="shared" si="126"/>
        <v>0</v>
      </c>
      <c r="FQ35" s="136">
        <f>FQ28+FQ32</f>
        <v>0</v>
      </c>
      <c r="FR35" s="1397">
        <f t="shared" ref="FR35:FT35" si="127">FR28+FR32</f>
        <v>0</v>
      </c>
      <c r="FS35" s="1395">
        <f t="shared" si="127"/>
        <v>0</v>
      </c>
      <c r="FT35" s="1396">
        <f t="shared" si="127"/>
        <v>0</v>
      </c>
      <c r="FU35" s="137">
        <f>FU28+FU32</f>
        <v>0</v>
      </c>
      <c r="FV35" s="1397">
        <f t="shared" ref="FV35:FX35" si="128">FV28+FV32</f>
        <v>0</v>
      </c>
      <c r="FW35" s="1395">
        <f t="shared" si="128"/>
        <v>0</v>
      </c>
      <c r="FX35" s="1396">
        <f t="shared" si="128"/>
        <v>0</v>
      </c>
      <c r="FY35" s="138">
        <f>FY28+FY32</f>
        <v>65047500</v>
      </c>
      <c r="FZ35" s="1397">
        <f t="shared" ref="FZ35:GB35" si="129">FZ28+FZ32</f>
        <v>65047500</v>
      </c>
      <c r="GA35" s="1395">
        <f t="shared" si="129"/>
        <v>0</v>
      </c>
      <c r="GB35" s="1396">
        <f t="shared" si="129"/>
        <v>0</v>
      </c>
      <c r="GC35" s="137">
        <f>GC28+GC32</f>
        <v>28531216.07</v>
      </c>
      <c r="GD35" s="1395">
        <f t="shared" ref="GD35" si="130">GD28+GD32</f>
        <v>28531216.07</v>
      </c>
      <c r="GE35" s="1396">
        <f t="shared" ref="GE35:GF35" si="131">GE28+GE32</f>
        <v>0</v>
      </c>
      <c r="GF35" s="1396">
        <f t="shared" si="131"/>
        <v>0</v>
      </c>
      <c r="GG35" s="136">
        <f t="shared" si="124"/>
        <v>190567200</v>
      </c>
      <c r="GH35" s="1397">
        <f t="shared" si="124"/>
        <v>190567200</v>
      </c>
      <c r="GI35" s="1395">
        <f t="shared" si="124"/>
        <v>0</v>
      </c>
      <c r="GJ35" s="1396">
        <f t="shared" si="124"/>
        <v>0</v>
      </c>
      <c r="GK35" s="137">
        <f t="shared" si="124"/>
        <v>150831310.75999999</v>
      </c>
      <c r="GL35" s="1397">
        <f t="shared" si="124"/>
        <v>150831310.75999999</v>
      </c>
      <c r="GM35" s="1395">
        <f t="shared" si="124"/>
        <v>0</v>
      </c>
      <c r="GN35" s="1396">
        <f t="shared" si="124"/>
        <v>0</v>
      </c>
      <c r="GO35" s="138">
        <f t="shared" si="124"/>
        <v>0</v>
      </c>
      <c r="GP35" s="1397">
        <f t="shared" si="124"/>
        <v>0</v>
      </c>
      <c r="GQ35" s="1395">
        <f t="shared" si="124"/>
        <v>0</v>
      </c>
      <c r="GR35" s="1396">
        <f t="shared" si="124"/>
        <v>0</v>
      </c>
      <c r="GS35" s="137">
        <f t="shared" si="124"/>
        <v>0</v>
      </c>
      <c r="GT35" s="1397">
        <f t="shared" si="124"/>
        <v>0</v>
      </c>
      <c r="GU35" s="1395">
        <f t="shared" si="124"/>
        <v>0</v>
      </c>
      <c r="GV35" s="1396">
        <f t="shared" si="124"/>
        <v>0</v>
      </c>
      <c r="GW35" s="136">
        <f t="shared" si="124"/>
        <v>301870082.17000002</v>
      </c>
      <c r="GX35" s="1397">
        <f t="shared" si="124"/>
        <v>204728600</v>
      </c>
      <c r="GY35" s="1395">
        <f t="shared" si="124"/>
        <v>0</v>
      </c>
      <c r="GZ35" s="1396">
        <f t="shared" si="124"/>
        <v>97141482.170000002</v>
      </c>
      <c r="HA35" s="137">
        <f t="shared" si="124"/>
        <v>235886211.88</v>
      </c>
      <c r="HB35" s="1397">
        <f t="shared" si="124"/>
        <v>158468708.38</v>
      </c>
      <c r="HC35" s="1395">
        <f t="shared" si="124"/>
        <v>0</v>
      </c>
      <c r="HD35" s="1398">
        <f t="shared" si="124"/>
        <v>77417503.5</v>
      </c>
      <c r="HE35" s="136">
        <f t="shared" ref="HE35:HL35" si="132">HE28+HE32</f>
        <v>28724600</v>
      </c>
      <c r="HF35" s="1395">
        <f t="shared" si="132"/>
        <v>0</v>
      </c>
      <c r="HG35" s="1398">
        <f t="shared" si="132"/>
        <v>28724600</v>
      </c>
      <c r="HH35" s="1395">
        <f t="shared" si="132"/>
        <v>0</v>
      </c>
      <c r="HI35" s="1399">
        <f t="shared" si="132"/>
        <v>11283835.609999999</v>
      </c>
      <c r="HJ35" s="1397">
        <f t="shared" si="132"/>
        <v>0</v>
      </c>
      <c r="HK35" s="1395">
        <f t="shared" si="132"/>
        <v>11283835.609999999</v>
      </c>
      <c r="HL35" s="1396">
        <f t="shared" si="132"/>
        <v>0</v>
      </c>
      <c r="HM35" s="137">
        <f t="shared" si="124"/>
        <v>19993600</v>
      </c>
      <c r="HN35" s="1397">
        <f t="shared" si="124"/>
        <v>0</v>
      </c>
      <c r="HO35" s="1395">
        <f t="shared" si="124"/>
        <v>19993600</v>
      </c>
      <c r="HP35" s="1396">
        <f t="shared" si="124"/>
        <v>0</v>
      </c>
      <c r="HQ35" s="137">
        <f t="shared" si="124"/>
        <v>10734480.310000001</v>
      </c>
      <c r="HR35" s="1397">
        <f t="shared" si="124"/>
        <v>0</v>
      </c>
      <c r="HS35" s="1395">
        <f t="shared" si="124"/>
        <v>10734480.310000001</v>
      </c>
      <c r="HT35" s="1396">
        <f t="shared" si="124"/>
        <v>0</v>
      </c>
      <c r="HU35" s="137">
        <f t="shared" ref="HU35:IB35" si="133">HU28+HU32</f>
        <v>7601900</v>
      </c>
      <c r="HV35" s="1397">
        <f t="shared" si="133"/>
        <v>0</v>
      </c>
      <c r="HW35" s="1395">
        <f t="shared" si="133"/>
        <v>7601900</v>
      </c>
      <c r="HX35" s="1396">
        <f t="shared" si="133"/>
        <v>0</v>
      </c>
      <c r="HY35" s="137">
        <f t="shared" si="133"/>
        <v>0</v>
      </c>
      <c r="HZ35" s="1397">
        <f t="shared" si="133"/>
        <v>0</v>
      </c>
      <c r="IA35" s="1395">
        <f t="shared" si="133"/>
        <v>0</v>
      </c>
      <c r="IB35" s="1396">
        <f t="shared" si="133"/>
        <v>0</v>
      </c>
      <c r="IC35" s="136">
        <f t="shared" si="124"/>
        <v>286389500</v>
      </c>
      <c r="ID35" s="1395">
        <f t="shared" si="124"/>
        <v>286389500</v>
      </c>
      <c r="IE35" s="1398">
        <f t="shared" si="124"/>
        <v>0</v>
      </c>
      <c r="IF35" s="1395">
        <f t="shared" si="124"/>
        <v>0</v>
      </c>
      <c r="IG35" s="138">
        <f t="shared" si="124"/>
        <v>25494204.719999999</v>
      </c>
      <c r="IH35" s="1395">
        <f t="shared" si="124"/>
        <v>25494204.719999999</v>
      </c>
      <c r="II35" s="1398">
        <f t="shared" si="124"/>
        <v>0</v>
      </c>
      <c r="IJ35" s="1395">
        <f t="shared" si="124"/>
        <v>0</v>
      </c>
      <c r="IK35" s="136">
        <f t="shared" ref="IK35:IR35" si="134">IK28+IK32</f>
        <v>127736418</v>
      </c>
      <c r="IL35" s="1397">
        <f t="shared" si="134"/>
        <v>127736418</v>
      </c>
      <c r="IM35" s="1395">
        <f t="shared" si="134"/>
        <v>0</v>
      </c>
      <c r="IN35" s="1396">
        <f t="shared" si="134"/>
        <v>0</v>
      </c>
      <c r="IO35" s="137">
        <f t="shared" si="134"/>
        <v>82876932.230000004</v>
      </c>
      <c r="IP35" s="1397">
        <f t="shared" si="134"/>
        <v>82876932.230000004</v>
      </c>
      <c r="IQ35" s="1395">
        <f t="shared" si="134"/>
        <v>0</v>
      </c>
      <c r="IR35" s="1396">
        <f t="shared" si="134"/>
        <v>0</v>
      </c>
      <c r="IS35" s="137">
        <f t="shared" si="124"/>
        <v>137839400</v>
      </c>
      <c r="IT35" s="1397">
        <f t="shared" si="124"/>
        <v>137839400</v>
      </c>
      <c r="IU35" s="1395">
        <f t="shared" si="124"/>
        <v>0</v>
      </c>
      <c r="IV35" s="1396">
        <f t="shared" si="124"/>
        <v>0</v>
      </c>
      <c r="IW35" s="137">
        <f t="shared" si="124"/>
        <v>56897801.200000003</v>
      </c>
      <c r="IX35" s="1397">
        <f t="shared" si="124"/>
        <v>56897801.200000003</v>
      </c>
      <c r="IY35" s="1395">
        <f t="shared" si="124"/>
        <v>0</v>
      </c>
      <c r="IZ35" s="1396">
        <f t="shared" si="124"/>
        <v>0</v>
      </c>
      <c r="JA35" s="137">
        <f t="shared" si="124"/>
        <v>0</v>
      </c>
      <c r="JB35" s="1397">
        <f t="shared" si="124"/>
        <v>0</v>
      </c>
      <c r="JC35" s="1395">
        <f t="shared" si="124"/>
        <v>0</v>
      </c>
      <c r="JD35" s="1396">
        <f t="shared" si="124"/>
        <v>0</v>
      </c>
      <c r="JE35" s="137">
        <f t="shared" si="124"/>
        <v>0</v>
      </c>
      <c r="JF35" s="1397">
        <f t="shared" si="124"/>
        <v>0</v>
      </c>
      <c r="JG35" s="1395">
        <f t="shared" si="124"/>
        <v>0</v>
      </c>
      <c r="JH35" s="1396">
        <f t="shared" si="124"/>
        <v>0</v>
      </c>
      <c r="JI35" s="137">
        <f t="shared" ref="JI35:JP35" si="135">JI28+JI32</f>
        <v>39920400</v>
      </c>
      <c r="JJ35" s="1397">
        <f t="shared" si="135"/>
        <v>31067560</v>
      </c>
      <c r="JK35" s="1395">
        <f t="shared" si="135"/>
        <v>8852840</v>
      </c>
      <c r="JL35" s="1396">
        <f t="shared" si="135"/>
        <v>0</v>
      </c>
      <c r="JM35" s="137">
        <f t="shared" si="135"/>
        <v>0</v>
      </c>
      <c r="JN35" s="1397">
        <f t="shared" si="135"/>
        <v>0</v>
      </c>
      <c r="JO35" s="1395">
        <f t="shared" si="135"/>
        <v>0</v>
      </c>
      <c r="JP35" s="1396">
        <f t="shared" si="135"/>
        <v>0</v>
      </c>
    </row>
    <row r="36" spans="1:276" s="164" customFormat="1" ht="16.5" x14ac:dyDescent="0.25">
      <c r="A36" s="87"/>
      <c r="B36" s="1400">
        <f>M35-AC35-B35-U35</f>
        <v>0</v>
      </c>
      <c r="C36" s="1401"/>
      <c r="D36" s="1401"/>
      <c r="E36" s="1401"/>
      <c r="F36" s="1400">
        <f>Q35-AG35-F35-Y35</f>
        <v>1.1920928955078125E-7</v>
      </c>
      <c r="G36" s="87"/>
      <c r="H36" s="87"/>
      <c r="I36" s="87"/>
      <c r="J36" s="87"/>
      <c r="K36" s="87"/>
      <c r="L36" s="87"/>
      <c r="M36" s="139">
        <f>M35-N35-O35-P35</f>
        <v>0</v>
      </c>
      <c r="N36" s="159"/>
      <c r="O36" s="159"/>
      <c r="P36" s="159"/>
      <c r="Q36" s="139">
        <f>Q35-R35-S35-T35</f>
        <v>0</v>
      </c>
      <c r="R36" s="159"/>
      <c r="S36" s="159"/>
      <c r="T36" s="159"/>
      <c r="U36" s="139">
        <f>U35-V35-W35-X35</f>
        <v>0</v>
      </c>
      <c r="V36" s="139"/>
      <c r="W36" s="139"/>
      <c r="X36" s="139"/>
      <c r="Y36" s="139">
        <f>Y35-Z35-AA35-AB35</f>
        <v>0</v>
      </c>
      <c r="Z36" s="139"/>
      <c r="AA36" s="139"/>
      <c r="AB36" s="139"/>
      <c r="AC36" s="139">
        <f>AC35-AD35-AE35-AF35</f>
        <v>0</v>
      </c>
      <c r="AD36" s="139"/>
      <c r="AE36" s="139"/>
      <c r="AF36" s="139"/>
      <c r="AG36" s="139">
        <f>AG35-AH35-AI35-AJ35</f>
        <v>0</v>
      </c>
      <c r="AH36" s="139"/>
      <c r="AI36" s="139"/>
      <c r="AJ36" s="139"/>
      <c r="AK36" s="139">
        <f>AK35-AL35-AM35-AN35</f>
        <v>0</v>
      </c>
      <c r="AL36" s="139"/>
      <c r="AM36" s="139"/>
      <c r="AN36" s="139"/>
      <c r="AO36" s="139">
        <f>AO35-AP35-AQ35-AR35</f>
        <v>0</v>
      </c>
      <c r="AP36" s="139"/>
      <c r="AQ36" s="139"/>
      <c r="AR36" s="139"/>
      <c r="AS36" s="139">
        <f>AS35-AT35-AU35-AV35</f>
        <v>0</v>
      </c>
      <c r="AT36" s="141"/>
      <c r="AU36" s="141"/>
      <c r="AV36" s="141"/>
      <c r="AW36" s="139">
        <f>AW35-AX35-AY35-AZ35</f>
        <v>0</v>
      </c>
      <c r="AX36" s="141"/>
      <c r="AY36" s="141"/>
      <c r="AZ36" s="141"/>
      <c r="BA36" s="139">
        <f>BA35-BB35-BC35-BD35</f>
        <v>0</v>
      </c>
      <c r="BB36" s="141"/>
      <c r="BC36" s="141"/>
      <c r="BD36" s="141"/>
      <c r="BE36" s="139">
        <f>BE35-BF35-BG35-BH35</f>
        <v>0</v>
      </c>
      <c r="BF36" s="141"/>
      <c r="BG36" s="141"/>
      <c r="BH36" s="141"/>
      <c r="BI36" s="139">
        <f>BI35-BJ35-BK35-BL35</f>
        <v>0</v>
      </c>
      <c r="BJ36" s="141"/>
      <c r="BK36" s="141"/>
      <c r="BL36" s="141"/>
      <c r="BM36" s="139">
        <f>BM35-BN35-BO35-BP35</f>
        <v>0</v>
      </c>
      <c r="BN36" s="141"/>
      <c r="BO36" s="141"/>
      <c r="BP36" s="141"/>
      <c r="BQ36" s="139">
        <f>BQ35-BR35-BS35-BT35</f>
        <v>0</v>
      </c>
      <c r="BR36" s="141"/>
      <c r="BS36" s="141"/>
      <c r="BT36" s="141"/>
      <c r="BU36" s="139">
        <f>BU35-BV35-BW35-BX35</f>
        <v>0</v>
      </c>
      <c r="BV36" s="141"/>
      <c r="BW36" s="141"/>
      <c r="BX36" s="141"/>
      <c r="BY36" s="139">
        <f>BY35-BZ35-CA35-CB35</f>
        <v>0</v>
      </c>
      <c r="BZ36" s="141"/>
      <c r="CA36" s="141"/>
      <c r="CB36" s="141"/>
      <c r="CC36" s="139">
        <f>CC35-CD35-CE35-CF35</f>
        <v>0</v>
      </c>
      <c r="CD36" s="141"/>
      <c r="CE36" s="141"/>
      <c r="CF36" s="141"/>
      <c r="CG36" s="139">
        <f>CG35-CH35-CI35-CJ35</f>
        <v>0</v>
      </c>
      <c r="CH36" s="141"/>
      <c r="CI36" s="141"/>
      <c r="CJ36" s="141"/>
      <c r="CK36" s="139">
        <f>CK35-CL35-CM35-CN35</f>
        <v>0</v>
      </c>
      <c r="CL36" s="141"/>
      <c r="CM36" s="141"/>
      <c r="CN36" s="141"/>
      <c r="CO36" s="139">
        <f>CO35-CP35-CQ35-CR35</f>
        <v>0</v>
      </c>
      <c r="CP36" s="141"/>
      <c r="CQ36" s="141"/>
      <c r="CR36" s="141"/>
      <c r="CS36" s="139">
        <f>CS35-CT35-CU35-CV35</f>
        <v>0</v>
      </c>
      <c r="CT36" s="141"/>
      <c r="CU36" s="141"/>
      <c r="CV36" s="141"/>
      <c r="CW36" s="139">
        <f>CW35-CX35-CY35-CZ35</f>
        <v>0</v>
      </c>
      <c r="CX36" s="141"/>
      <c r="CY36" s="141"/>
      <c r="CZ36" s="141"/>
      <c r="DA36" s="139">
        <f>DA35-DB35-DC35-DD35</f>
        <v>0</v>
      </c>
      <c r="DB36" s="141"/>
      <c r="DC36" s="141"/>
      <c r="DD36" s="141"/>
      <c r="DE36" s="139">
        <f>DE35-DF35-DG35-DH35</f>
        <v>0</v>
      </c>
      <c r="DF36" s="141"/>
      <c r="DG36" s="141"/>
      <c r="DH36" s="141"/>
      <c r="DI36" s="139">
        <f>DI35-DJ35-DK35-DL35</f>
        <v>0</v>
      </c>
      <c r="DJ36" s="141"/>
      <c r="DK36" s="141"/>
      <c r="DL36" s="141"/>
      <c r="DM36" s="139">
        <f>DM35-DN35-DO35-DP35</f>
        <v>0</v>
      </c>
      <c r="DN36" s="141"/>
      <c r="DO36" s="141"/>
      <c r="DP36" s="141"/>
      <c r="DQ36" s="139">
        <f>DQ35-DR35-DS35-DT35</f>
        <v>0</v>
      </c>
      <c r="DR36" s="141"/>
      <c r="DS36" s="141"/>
      <c r="DT36" s="141"/>
      <c r="DU36" s="139">
        <f>DU35-DV35-DW35-DX35</f>
        <v>0</v>
      </c>
      <c r="DV36" s="141"/>
      <c r="DW36" s="141"/>
      <c r="DX36" s="141"/>
      <c r="DY36" s="139">
        <f>DY35-DZ35-EA35-EB35</f>
        <v>0</v>
      </c>
      <c r="DZ36" s="141"/>
      <c r="EA36" s="141"/>
      <c r="EB36" s="141"/>
      <c r="EC36" s="139">
        <f>EC35-ED35-EE35-EF35</f>
        <v>0</v>
      </c>
      <c r="ED36" s="141"/>
      <c r="EE36" s="141"/>
      <c r="EF36" s="141"/>
      <c r="EG36" s="139">
        <f>EG35-EH35-EI35-EJ35</f>
        <v>0</v>
      </c>
      <c r="EH36" s="141"/>
      <c r="EI36" s="141"/>
      <c r="EJ36" s="141"/>
      <c r="EK36" s="139">
        <f>EK35-EL35-EM35-EN35</f>
        <v>0</v>
      </c>
      <c r="EL36" s="141"/>
      <c r="EM36" s="141"/>
      <c r="EN36" s="141"/>
      <c r="EO36" s="139">
        <f>EO35-EP35-EQ35-ER35</f>
        <v>0</v>
      </c>
      <c r="EP36" s="141"/>
      <c r="EQ36" s="141"/>
      <c r="ER36" s="141"/>
      <c r="ES36" s="139">
        <f>ES35-ET35-EU35-EV35</f>
        <v>0</v>
      </c>
      <c r="ET36" s="141"/>
      <c r="EU36" s="141"/>
      <c r="EV36" s="141"/>
      <c r="EW36" s="139">
        <f>EW35-EX35-EY35-EZ35</f>
        <v>0</v>
      </c>
      <c r="EX36" s="141"/>
      <c r="EY36" s="141"/>
      <c r="EZ36" s="141"/>
      <c r="FA36" s="139">
        <f>FA35-FB35-FC35-FD35</f>
        <v>0</v>
      </c>
      <c r="FB36" s="141"/>
      <c r="FC36" s="141"/>
      <c r="FD36" s="141"/>
      <c r="FE36" s="139">
        <f>FE35-FF35-FG35-FH35</f>
        <v>0</v>
      </c>
      <c r="FF36" s="141"/>
      <c r="FG36" s="141"/>
      <c r="FH36" s="141"/>
      <c r="FI36" s="139">
        <f>FI35-FJ35-FK35-FL35</f>
        <v>0</v>
      </c>
      <c r="FJ36" s="141"/>
      <c r="FK36" s="141"/>
      <c r="FL36" s="141"/>
      <c r="FM36" s="139">
        <f>FM35-FN35-FO35-FP35</f>
        <v>0</v>
      </c>
      <c r="FN36" s="141"/>
      <c r="FO36" s="141"/>
      <c r="FP36" s="141"/>
      <c r="FQ36" s="139">
        <f>FQ35-FR35-FS35-FT35</f>
        <v>0</v>
      </c>
      <c r="FR36" s="141"/>
      <c r="FS36" s="141"/>
      <c r="FT36" s="141"/>
      <c r="FU36" s="139">
        <f>FU35-FV35-FW35-FX35</f>
        <v>0</v>
      </c>
      <c r="FV36" s="141"/>
      <c r="FW36" s="141"/>
      <c r="FX36" s="141"/>
      <c r="FY36" s="139">
        <f>FY35-FZ35-GA35-GB35</f>
        <v>0</v>
      </c>
      <c r="FZ36" s="141"/>
      <c r="GA36" s="141"/>
      <c r="GB36" s="141"/>
      <c r="GC36" s="139">
        <f>GC35-GD35-GE35-GF35</f>
        <v>0</v>
      </c>
      <c r="GD36" s="141"/>
      <c r="GE36" s="141"/>
      <c r="GF36" s="141"/>
      <c r="GG36" s="139">
        <f>GG35-GH35-GI35-GJ35</f>
        <v>0</v>
      </c>
      <c r="GH36" s="141"/>
      <c r="GI36" s="141"/>
      <c r="GJ36" s="141"/>
      <c r="GK36" s="139">
        <f>GK35-GL35-GM35-GN35</f>
        <v>0</v>
      </c>
      <c r="GL36" s="141"/>
      <c r="GM36" s="141"/>
      <c r="GN36" s="141"/>
      <c r="GO36" s="139">
        <f>GO35-GP35-GQ35-GR35</f>
        <v>0</v>
      </c>
      <c r="GP36" s="141"/>
      <c r="GQ36" s="141"/>
      <c r="GR36" s="141"/>
      <c r="GS36" s="139">
        <f>GS35-GT35-GU35-GV35</f>
        <v>0</v>
      </c>
      <c r="GT36" s="141"/>
      <c r="GU36" s="141"/>
      <c r="GV36" s="141"/>
      <c r="GW36" s="139">
        <f>GW35-GX35-GY35-GZ35</f>
        <v>0</v>
      </c>
      <c r="GX36" s="141"/>
      <c r="GY36" s="141"/>
      <c r="GZ36" s="141"/>
      <c r="HA36" s="139">
        <f>HA35-HB35-HC35-HD35</f>
        <v>0</v>
      </c>
      <c r="HB36" s="141"/>
      <c r="HC36" s="141"/>
      <c r="HD36" s="141"/>
      <c r="HE36" s="139">
        <f>HE35-HF35-HG35-HH35</f>
        <v>0</v>
      </c>
      <c r="HF36" s="141"/>
      <c r="HG36" s="141"/>
      <c r="HH36" s="141"/>
      <c r="HI36" s="139">
        <f>HI35-HJ35-HK35-HL35</f>
        <v>0</v>
      </c>
      <c r="HJ36" s="141"/>
      <c r="HK36" s="141"/>
      <c r="HL36" s="141"/>
      <c r="HM36" s="139">
        <f>HM35-HN35-HO35-HP35</f>
        <v>0</v>
      </c>
      <c r="HN36" s="141"/>
      <c r="HO36" s="141"/>
      <c r="HP36" s="141"/>
      <c r="HQ36" s="139">
        <f>HQ35-HR35-HS35-HT35</f>
        <v>0</v>
      </c>
      <c r="HR36" s="141"/>
      <c r="HS36" s="141"/>
      <c r="HT36" s="141"/>
      <c r="HU36" s="139">
        <f>HU35-HV35-HW35-HX35</f>
        <v>0</v>
      </c>
      <c r="HV36" s="141"/>
      <c r="HW36" s="141"/>
      <c r="HX36" s="141"/>
      <c r="HY36" s="139">
        <f>HY35-HZ35-IA35-IB35</f>
        <v>0</v>
      </c>
      <c r="HZ36" s="141"/>
      <c r="IA36" s="141"/>
      <c r="IB36" s="141"/>
      <c r="IC36" s="139">
        <f>IC35-ID35-IE35-IF35</f>
        <v>0</v>
      </c>
      <c r="ID36" s="141"/>
      <c r="IE36" s="141"/>
      <c r="IF36" s="141"/>
      <c r="IG36" s="139">
        <f>IG35-IH35-II35-IJ35</f>
        <v>0</v>
      </c>
      <c r="IH36" s="141"/>
      <c r="II36" s="141"/>
      <c r="IJ36" s="141"/>
      <c r="IK36" s="139">
        <f>IK35-IL35-IM35-IN35</f>
        <v>0</v>
      </c>
      <c r="IL36" s="141"/>
      <c r="IM36" s="141"/>
      <c r="IN36" s="141"/>
      <c r="IO36" s="139">
        <f>IO35-IP35-IQ35-IR35</f>
        <v>0</v>
      </c>
      <c r="IP36" s="141"/>
      <c r="IQ36" s="141"/>
      <c r="IR36" s="141"/>
      <c r="IS36" s="139">
        <f>IS35-IT35-IU35-IV35</f>
        <v>0</v>
      </c>
      <c r="IT36" s="141"/>
      <c r="IU36" s="141"/>
      <c r="IV36" s="141"/>
      <c r="IW36" s="139">
        <f>IW35-IX35-IY35-IZ35</f>
        <v>0</v>
      </c>
      <c r="IX36" s="141"/>
      <c r="IY36" s="141"/>
      <c r="IZ36" s="141"/>
      <c r="JA36" s="139">
        <f>JA35-JB35-JC35-JD35</f>
        <v>0</v>
      </c>
      <c r="JB36" s="141"/>
      <c r="JC36" s="141"/>
      <c r="JD36" s="141"/>
      <c r="JE36" s="139">
        <f>JE35-JF35-JG35-JH35</f>
        <v>0</v>
      </c>
      <c r="JF36" s="141"/>
      <c r="JG36" s="141"/>
      <c r="JH36" s="141"/>
      <c r="JI36" s="139">
        <f>JI35-JJ35-JK35-JL35</f>
        <v>0</v>
      </c>
      <c r="JJ36" s="141"/>
      <c r="JK36" s="141"/>
      <c r="JL36" s="141"/>
      <c r="JM36" s="139">
        <f>JM35-JN35-JO35-JP35</f>
        <v>0</v>
      </c>
      <c r="JN36" s="141"/>
      <c r="JO36" s="141"/>
      <c r="JP36" s="141"/>
    </row>
    <row r="37" spans="1:276" s="167" customFormat="1" ht="36" customHeight="1" x14ac:dyDescent="0.25">
      <c r="A37" s="165"/>
      <c r="B37" s="1402">
        <f>B35-'Федеральные  средства  по  МО'!D38</f>
        <v>0</v>
      </c>
      <c r="C37" s="1403"/>
      <c r="D37" s="1403"/>
      <c r="E37" s="1403"/>
      <c r="F37" s="1402">
        <f>F35-'Федеральные  средства  по  МО'!E38</f>
        <v>0</v>
      </c>
      <c r="G37" s="165"/>
      <c r="H37" s="165"/>
      <c r="I37" s="165"/>
      <c r="J37" s="165"/>
      <c r="K37" s="165"/>
      <c r="L37" s="165"/>
      <c r="M37" s="159">
        <f>M35-'Федеральные  средства  по  МО'!D36</f>
        <v>0</v>
      </c>
      <c r="N37" s="166"/>
      <c r="O37" s="166"/>
      <c r="P37" s="166"/>
      <c r="Q37" s="159">
        <f>Q35-'Федеральные  средства  по  МО'!E36</f>
        <v>0</v>
      </c>
      <c r="R37" s="166"/>
      <c r="S37" s="166"/>
      <c r="T37" s="166"/>
      <c r="U37" s="1841" t="s">
        <v>772</v>
      </c>
      <c r="V37" s="1895"/>
      <c r="W37" s="1895"/>
      <c r="X37" s="1895"/>
      <c r="Y37" s="1895"/>
      <c r="Z37" s="1895"/>
      <c r="AA37" s="1895"/>
      <c r="AB37" s="1842"/>
      <c r="AC37" s="1841" t="s">
        <v>683</v>
      </c>
      <c r="AD37" s="1895"/>
      <c r="AE37" s="1895"/>
      <c r="AF37" s="1895"/>
      <c r="AG37" s="1895"/>
      <c r="AH37" s="1895"/>
      <c r="AI37" s="1895"/>
      <c r="AJ37" s="1842"/>
      <c r="AK37" s="1841" t="s">
        <v>534</v>
      </c>
      <c r="AL37" s="1895"/>
      <c r="AM37" s="1895"/>
      <c r="AN37" s="1895"/>
      <c r="AO37" s="1895"/>
      <c r="AP37" s="1895"/>
      <c r="AQ37" s="1895"/>
      <c r="AR37" s="1842"/>
      <c r="AS37" s="1841" t="s">
        <v>773</v>
      </c>
      <c r="AT37" s="1895"/>
      <c r="AU37" s="1895"/>
      <c r="AV37" s="1895"/>
      <c r="AW37" s="1895"/>
      <c r="AX37" s="1895"/>
      <c r="AY37" s="1895"/>
      <c r="AZ37" s="1842"/>
      <c r="BA37" s="1841" t="s">
        <v>774</v>
      </c>
      <c r="BB37" s="1895"/>
      <c r="BC37" s="1895"/>
      <c r="BD37" s="1895"/>
      <c r="BE37" s="1895"/>
      <c r="BF37" s="1895"/>
      <c r="BG37" s="1895"/>
      <c r="BH37" s="1842"/>
      <c r="BI37" s="1841" t="s">
        <v>775</v>
      </c>
      <c r="BJ37" s="1895"/>
      <c r="BK37" s="1895"/>
      <c r="BL37" s="1895"/>
      <c r="BM37" s="1895"/>
      <c r="BN37" s="1895"/>
      <c r="BO37" s="1895"/>
      <c r="BP37" s="1842"/>
      <c r="BQ37" s="1841" t="s">
        <v>481</v>
      </c>
      <c r="BR37" s="1895"/>
      <c r="BS37" s="1895"/>
      <c r="BT37" s="1895"/>
      <c r="BU37" s="1895"/>
      <c r="BV37" s="1895"/>
      <c r="BW37" s="1895"/>
      <c r="BX37" s="1842"/>
      <c r="BY37" s="1841" t="s">
        <v>776</v>
      </c>
      <c r="BZ37" s="1895"/>
      <c r="CA37" s="1895"/>
      <c r="CB37" s="1895"/>
      <c r="CC37" s="1895"/>
      <c r="CD37" s="1895"/>
      <c r="CE37" s="1895"/>
      <c r="CF37" s="1842"/>
      <c r="CG37" s="1841" t="s">
        <v>820</v>
      </c>
      <c r="CH37" s="1895"/>
      <c r="CI37" s="1895"/>
      <c r="CJ37" s="1895"/>
      <c r="CK37" s="1895"/>
      <c r="CL37" s="1895"/>
      <c r="CM37" s="1895"/>
      <c r="CN37" s="1842"/>
      <c r="CO37" s="1841" t="s">
        <v>483</v>
      </c>
      <c r="CP37" s="1895"/>
      <c r="CQ37" s="1895"/>
      <c r="CR37" s="1895"/>
      <c r="CS37" s="1895"/>
      <c r="CT37" s="1895"/>
      <c r="CU37" s="1895"/>
      <c r="CV37" s="1842"/>
      <c r="CW37" s="1841" t="s">
        <v>484</v>
      </c>
      <c r="CX37" s="1895"/>
      <c r="CY37" s="1895"/>
      <c r="CZ37" s="1895"/>
      <c r="DA37" s="1895"/>
      <c r="DB37" s="1895"/>
      <c r="DC37" s="1895"/>
      <c r="DD37" s="1842"/>
      <c r="DE37" s="1841" t="s">
        <v>485</v>
      </c>
      <c r="DF37" s="1895"/>
      <c r="DG37" s="1895"/>
      <c r="DH37" s="1895"/>
      <c r="DI37" s="1895"/>
      <c r="DJ37" s="1895"/>
      <c r="DK37" s="1895"/>
      <c r="DL37" s="1842"/>
      <c r="DM37" s="1841" t="s">
        <v>486</v>
      </c>
      <c r="DN37" s="1895"/>
      <c r="DO37" s="1895"/>
      <c r="DP37" s="1895"/>
      <c r="DQ37" s="1895"/>
      <c r="DR37" s="1895"/>
      <c r="DS37" s="1895"/>
      <c r="DT37" s="1842"/>
      <c r="DU37" s="1841" t="s">
        <v>702</v>
      </c>
      <c r="DV37" s="1895"/>
      <c r="DW37" s="1895"/>
      <c r="DX37" s="1895"/>
      <c r="DY37" s="1895"/>
      <c r="DZ37" s="1895"/>
      <c r="EA37" s="1895"/>
      <c r="EB37" s="1842"/>
      <c r="EC37" s="1841" t="s">
        <v>527</v>
      </c>
      <c r="ED37" s="1895"/>
      <c r="EE37" s="1895"/>
      <c r="EF37" s="1895"/>
      <c r="EG37" s="1895"/>
      <c r="EH37" s="1895"/>
      <c r="EI37" s="1895"/>
      <c r="EJ37" s="1842"/>
      <c r="EK37" s="1841" t="s">
        <v>777</v>
      </c>
      <c r="EL37" s="1895"/>
      <c r="EM37" s="1895"/>
      <c r="EN37" s="1895"/>
      <c r="EO37" s="1895"/>
      <c r="EP37" s="1895"/>
      <c r="EQ37" s="1895"/>
      <c r="ER37" s="1842"/>
      <c r="ES37" s="1841" t="s">
        <v>778</v>
      </c>
      <c r="ET37" s="1895"/>
      <c r="EU37" s="1895"/>
      <c r="EV37" s="1895"/>
      <c r="EW37" s="1895"/>
      <c r="EX37" s="1895"/>
      <c r="EY37" s="1895"/>
      <c r="EZ37" s="1842"/>
      <c r="FA37" s="1841" t="s">
        <v>489</v>
      </c>
      <c r="FB37" s="1895"/>
      <c r="FC37" s="1895"/>
      <c r="FD37" s="1895"/>
      <c r="FE37" s="1895"/>
      <c r="FF37" s="1895"/>
      <c r="FG37" s="1895"/>
      <c r="FH37" s="1842"/>
      <c r="FI37" s="1841" t="s">
        <v>725</v>
      </c>
      <c r="FJ37" s="1895"/>
      <c r="FK37" s="1895"/>
      <c r="FL37" s="1895"/>
      <c r="FM37" s="1895"/>
      <c r="FN37" s="1895"/>
      <c r="FO37" s="1895"/>
      <c r="FP37" s="1842"/>
      <c r="FQ37" s="1841" t="s">
        <v>926</v>
      </c>
      <c r="FR37" s="1895"/>
      <c r="FS37" s="1895"/>
      <c r="FT37" s="1895"/>
      <c r="FU37" s="1895"/>
      <c r="FV37" s="1895"/>
      <c r="FW37" s="1895"/>
      <c r="FX37" s="1842"/>
      <c r="FY37" s="1841" t="s">
        <v>752</v>
      </c>
      <c r="FZ37" s="1895"/>
      <c r="GA37" s="1895"/>
      <c r="GB37" s="1895"/>
      <c r="GC37" s="1895"/>
      <c r="GD37" s="1895"/>
      <c r="GE37" s="1895"/>
      <c r="GF37" s="1842"/>
      <c r="GG37" s="1841" t="s">
        <v>779</v>
      </c>
      <c r="GH37" s="1895"/>
      <c r="GI37" s="1895"/>
      <c r="GJ37" s="1895"/>
      <c r="GK37" s="1895"/>
      <c r="GL37" s="1895"/>
      <c r="GM37" s="1895"/>
      <c r="GN37" s="1842"/>
      <c r="GO37" s="1841" t="s">
        <v>780</v>
      </c>
      <c r="GP37" s="1895"/>
      <c r="GQ37" s="1895"/>
      <c r="GR37" s="1895"/>
      <c r="GS37" s="1895"/>
      <c r="GT37" s="1895"/>
      <c r="GU37" s="1895"/>
      <c r="GV37" s="1842"/>
      <c r="GW37" s="1841" t="s">
        <v>573</v>
      </c>
      <c r="GX37" s="1895"/>
      <c r="GY37" s="1895"/>
      <c r="GZ37" s="1895"/>
      <c r="HA37" s="1895"/>
      <c r="HB37" s="1895"/>
      <c r="HC37" s="1895"/>
      <c r="HD37" s="1842"/>
      <c r="HE37" s="1841" t="s">
        <v>585</v>
      </c>
      <c r="HF37" s="1895"/>
      <c r="HG37" s="1895"/>
      <c r="HH37" s="1895"/>
      <c r="HI37" s="1895"/>
      <c r="HJ37" s="1895"/>
      <c r="HK37" s="1895"/>
      <c r="HL37" s="1842"/>
      <c r="HM37" s="1841" t="s">
        <v>588</v>
      </c>
      <c r="HN37" s="1895"/>
      <c r="HO37" s="1895"/>
      <c r="HP37" s="1895"/>
      <c r="HQ37" s="1895"/>
      <c r="HR37" s="1895"/>
      <c r="HS37" s="1895"/>
      <c r="HT37" s="1842"/>
      <c r="HU37" s="1841" t="s">
        <v>910</v>
      </c>
      <c r="HV37" s="1895"/>
      <c r="HW37" s="1895"/>
      <c r="HX37" s="1895"/>
      <c r="HY37" s="1895"/>
      <c r="HZ37" s="1895"/>
      <c r="IA37" s="1895"/>
      <c r="IB37" s="1842"/>
      <c r="IC37" s="1841" t="s">
        <v>811</v>
      </c>
      <c r="ID37" s="1895"/>
      <c r="IE37" s="1895"/>
      <c r="IF37" s="1895"/>
      <c r="IG37" s="1895"/>
      <c r="IH37" s="1895"/>
      <c r="II37" s="1895"/>
      <c r="IJ37" s="1842"/>
      <c r="IK37" s="1841" t="s">
        <v>591</v>
      </c>
      <c r="IL37" s="1895"/>
      <c r="IM37" s="1895"/>
      <c r="IN37" s="1895"/>
      <c r="IO37" s="1895"/>
      <c r="IP37" s="1895"/>
      <c r="IQ37" s="1895"/>
      <c r="IR37" s="1842"/>
      <c r="IS37" s="1841" t="s">
        <v>480</v>
      </c>
      <c r="IT37" s="1895"/>
      <c r="IU37" s="1895"/>
      <c r="IV37" s="1895"/>
      <c r="IW37" s="1895"/>
      <c r="IX37" s="1895"/>
      <c r="IY37" s="1895"/>
      <c r="IZ37" s="1842"/>
      <c r="JA37" s="1841" t="s">
        <v>666</v>
      </c>
      <c r="JB37" s="1895"/>
      <c r="JC37" s="1895"/>
      <c r="JD37" s="1895"/>
      <c r="JE37" s="1895"/>
      <c r="JF37" s="1895"/>
      <c r="JG37" s="1895"/>
      <c r="JH37" s="1842"/>
      <c r="JI37" s="1841" t="s">
        <v>852</v>
      </c>
      <c r="JJ37" s="1895"/>
      <c r="JK37" s="1895"/>
      <c r="JL37" s="1895"/>
      <c r="JM37" s="1895"/>
      <c r="JN37" s="1895"/>
      <c r="JO37" s="1895"/>
      <c r="JP37" s="1842"/>
    </row>
    <row r="38" spans="1:276" ht="15.75" x14ac:dyDescent="0.25">
      <c r="B38" s="1053" t="s">
        <v>795</v>
      </c>
      <c r="C38" s="1053" t="s">
        <v>796</v>
      </c>
      <c r="D38" s="1054" t="s">
        <v>459</v>
      </c>
      <c r="E38" s="1054" t="s">
        <v>460</v>
      </c>
      <c r="F38" s="1054" t="s">
        <v>461</v>
      </c>
      <c r="G38" s="1054" t="s">
        <v>462</v>
      </c>
      <c r="H38" s="1054" t="s">
        <v>463</v>
      </c>
      <c r="I38" s="1054" t="s">
        <v>464</v>
      </c>
      <c r="J38" s="1054" t="s">
        <v>465</v>
      </c>
      <c r="K38" s="1054" t="s">
        <v>466</v>
      </c>
    </row>
    <row r="39" spans="1:276" ht="15.75" x14ac:dyDescent="0.25">
      <c r="B39" s="1056">
        <f>D39+F39+H39+J39</f>
        <v>1905906.6471299997</v>
      </c>
      <c r="C39" s="1056">
        <f>E39+G39+I39+K39</f>
        <v>989765.45114000002</v>
      </c>
      <c r="D39" s="1057">
        <f>C32/1000</f>
        <v>531888.05432999996</v>
      </c>
      <c r="E39" s="1057">
        <f>G32/1000</f>
        <v>346131.99460000003</v>
      </c>
      <c r="F39" s="1057">
        <f>C28/1000</f>
        <v>1168773.3575499998</v>
      </c>
      <c r="G39" s="1057">
        <f>G28/1000</f>
        <v>531387.01541000011</v>
      </c>
      <c r="H39" s="1057">
        <f>E28/1000</f>
        <v>107084.87965999998</v>
      </c>
      <c r="I39" s="1057">
        <f>I28/1000</f>
        <v>78684.642149999985</v>
      </c>
      <c r="J39" s="1057">
        <f>D28/1000</f>
        <v>98160.355589999992</v>
      </c>
      <c r="K39" s="1057">
        <f>H28/1000</f>
        <v>33561.79898</v>
      </c>
    </row>
    <row r="40" spans="1:276" ht="15.75" x14ac:dyDescent="0.25">
      <c r="B40" s="1053" t="s">
        <v>797</v>
      </c>
      <c r="C40" s="1053" t="s">
        <v>798</v>
      </c>
      <c r="D40" s="1054" t="s">
        <v>459</v>
      </c>
      <c r="E40" s="1054" t="s">
        <v>460</v>
      </c>
      <c r="F40" s="1054" t="s">
        <v>461</v>
      </c>
      <c r="G40" s="1054" t="s">
        <v>462</v>
      </c>
      <c r="H40" s="1054" t="s">
        <v>463</v>
      </c>
      <c r="I40" s="1054" t="s">
        <v>464</v>
      </c>
      <c r="J40" s="1054" t="s">
        <v>465</v>
      </c>
      <c r="K40" s="1054" t="s">
        <v>466</v>
      </c>
    </row>
    <row r="41" spans="1:276" ht="15.75" x14ac:dyDescent="0.25">
      <c r="B41" s="1056">
        <f>D41+F41+H41+J41</f>
        <v>798263.27652000007</v>
      </c>
      <c r="C41" s="1056">
        <f>E41+G41+I41+K41</f>
        <v>641786.81582000002</v>
      </c>
      <c r="D41" s="1057">
        <f>(N32-C32)/1000</f>
        <v>586293.80975000001</v>
      </c>
      <c r="E41" s="1057">
        <f>(R32-G32)/1000</f>
        <v>472771.16761</v>
      </c>
      <c r="F41" s="1057">
        <f>(N28-C28)/1000</f>
        <v>20808.169589999914</v>
      </c>
      <c r="G41" s="1057">
        <f>(R28-G28)/1000</f>
        <v>8191.4718899999853</v>
      </c>
      <c r="H41" s="1057">
        <f>(P28-E28)/1000</f>
        <v>186872.90063000005</v>
      </c>
      <c r="I41" s="1057">
        <f>(T28-I28)/1000</f>
        <v>157393.45907000004</v>
      </c>
      <c r="J41" s="1057">
        <f>(O28-D28)/1000</f>
        <v>4288.3965500000122</v>
      </c>
      <c r="K41" s="1057">
        <f>(S28-H28)/1000</f>
        <v>3430.7172500000001</v>
      </c>
    </row>
  </sheetData>
  <mergeCells count="94">
    <mergeCell ref="JI7:JP7"/>
    <mergeCell ref="JI8:JP8"/>
    <mergeCell ref="JI37:JP37"/>
    <mergeCell ref="CG37:CN37"/>
    <mergeCell ref="IC37:IJ37"/>
    <mergeCell ref="CW37:DD37"/>
    <mergeCell ref="DE37:DL37"/>
    <mergeCell ref="DM37:DT37"/>
    <mergeCell ref="DU37:EB37"/>
    <mergeCell ref="EC37:EJ37"/>
    <mergeCell ref="FY37:GF37"/>
    <mergeCell ref="EK37:ER37"/>
    <mergeCell ref="ES37:EZ37"/>
    <mergeCell ref="DE7:DL8"/>
    <mergeCell ref="JA8:JH8"/>
    <mergeCell ref="JA37:JH37"/>
    <mergeCell ref="IK37:IR37"/>
    <mergeCell ref="EC7:EJ7"/>
    <mergeCell ref="FI8:FP8"/>
    <mergeCell ref="FI37:FP37"/>
    <mergeCell ref="FA37:FH37"/>
    <mergeCell ref="HE7:IB7"/>
    <mergeCell ref="HU8:IB8"/>
    <mergeCell ref="IK8:IR8"/>
    <mergeCell ref="FQ8:FX8"/>
    <mergeCell ref="FQ37:FX37"/>
    <mergeCell ref="FY8:GF8"/>
    <mergeCell ref="FA7:GF7"/>
    <mergeCell ref="JA7:JH7"/>
    <mergeCell ref="GG37:GN37"/>
    <mergeCell ref="GO37:GV37"/>
    <mergeCell ref="GW37:HD37"/>
    <mergeCell ref="HM37:HT37"/>
    <mergeCell ref="IS37:IZ37"/>
    <mergeCell ref="HE37:HL37"/>
    <mergeCell ref="HU37:IB37"/>
    <mergeCell ref="GW8:HD8"/>
    <mergeCell ref="HM8:HT8"/>
    <mergeCell ref="IS8:IZ8"/>
    <mergeCell ref="GG7:GV7"/>
    <mergeCell ref="GW7:HD7"/>
    <mergeCell ref="IS7:IZ7"/>
    <mergeCell ref="HE8:HL8"/>
    <mergeCell ref="IC8:IJ8"/>
    <mergeCell ref="AK7:AR8"/>
    <mergeCell ref="AC7:AJ8"/>
    <mergeCell ref="M6:X6"/>
    <mergeCell ref="BI37:BP37"/>
    <mergeCell ref="BQ37:BX37"/>
    <mergeCell ref="BI7:BP8"/>
    <mergeCell ref="M7:M9"/>
    <mergeCell ref="N7:N9"/>
    <mergeCell ref="O7:O9"/>
    <mergeCell ref="P7:P9"/>
    <mergeCell ref="Q7:Q9"/>
    <mergeCell ref="R7:R9"/>
    <mergeCell ref="S7:S9"/>
    <mergeCell ref="T7:T9"/>
    <mergeCell ref="U7:AB8"/>
    <mergeCell ref="BY37:CF37"/>
    <mergeCell ref="GG8:GN8"/>
    <mergeCell ref="GO8:GV8"/>
    <mergeCell ref="CO37:CV37"/>
    <mergeCell ref="U37:AB37"/>
    <mergeCell ref="AC37:AJ37"/>
    <mergeCell ref="AK37:AR37"/>
    <mergeCell ref="AS37:AZ37"/>
    <mergeCell ref="BA37:BH37"/>
    <mergeCell ref="DM7:DT8"/>
    <mergeCell ref="DU7:EB8"/>
    <mergeCell ref="EK7:ER8"/>
    <mergeCell ref="ES7:EZ8"/>
    <mergeCell ref="EC8:EJ8"/>
    <mergeCell ref="FA8:FH8"/>
    <mergeCell ref="CO7:CV7"/>
    <mergeCell ref="CW7:DD8"/>
    <mergeCell ref="AS8:AZ8"/>
    <mergeCell ref="BA8:BH8"/>
    <mergeCell ref="BQ8:BX8"/>
    <mergeCell ref="BY8:CF8"/>
    <mergeCell ref="CO8:CV8"/>
    <mergeCell ref="BQ7:CN7"/>
    <mergeCell ref="CG8:CN8"/>
    <mergeCell ref="AS7:BH7"/>
    <mergeCell ref="A6:A8"/>
    <mergeCell ref="B6:I6"/>
    <mergeCell ref="B7:B9"/>
    <mergeCell ref="C7:C9"/>
    <mergeCell ref="D7:D9"/>
    <mergeCell ref="E7:E9"/>
    <mergeCell ref="F7:F9"/>
    <mergeCell ref="G7:G9"/>
    <mergeCell ref="H7:H9"/>
    <mergeCell ref="I7:I9"/>
  </mergeCells>
  <pageMargins left="0.78740157480314965" right="0.39370078740157483" top="0.59055118110236227" bottom="0.59055118110236227" header="0.51181102362204722" footer="0.51181102362204722"/>
  <pageSetup paperSize="9" scale="43" fitToWidth="50" orientation="landscape" horizontalDpi="300" verticalDpi="300" r:id="rId1"/>
  <headerFooter alignWithMargins="0">
    <oddFooter>&amp;L&amp;P&amp;R&amp;Z&amp;F&amp;A</oddFooter>
  </headerFooter>
  <colBreaks count="1" manualBreakCount="1">
    <brk id="8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1"/>
  <dimension ref="A2:AS47"/>
  <sheetViews>
    <sheetView topLeftCell="A2" zoomScale="60" zoomScaleNormal="60" zoomScaleSheetLayoutView="50" workbookViewId="0">
      <pane xSplit="1" ySplit="6" topLeftCell="B8" activePane="bottomRight" state="frozen"/>
      <selection activeCell="A2" sqref="A2"/>
      <selection pane="topRight" activeCell="B2" sqref="B2"/>
      <selection pane="bottomLeft" activeCell="A7" sqref="A7"/>
      <selection pane="bottomRight" activeCell="U25" sqref="U25"/>
    </sheetView>
  </sheetViews>
  <sheetFormatPr defaultColWidth="9.140625" defaultRowHeight="15" x14ac:dyDescent="0.2"/>
  <cols>
    <col min="1" max="1" width="25.140625" style="417" customWidth="1"/>
    <col min="2" max="2" width="24.140625" style="417" customWidth="1"/>
    <col min="3" max="3" width="23.140625" style="417" customWidth="1"/>
    <col min="4" max="5" width="21.5703125" style="417" customWidth="1"/>
    <col min="6" max="7" width="24.140625" style="417" customWidth="1"/>
    <col min="8" max="13" width="22" style="417" customWidth="1"/>
    <col min="14" max="15" width="22.140625" style="417" customWidth="1"/>
    <col min="16" max="19" width="25.140625" style="417" customWidth="1"/>
    <col min="20" max="21" width="22.140625" style="417" customWidth="1"/>
    <col min="22" max="23" width="22.85546875" style="417" customWidth="1"/>
    <col min="24" max="29" width="22.5703125" style="417" customWidth="1"/>
    <col min="30" max="30" width="21.140625" style="417" customWidth="1"/>
    <col min="31" max="31" width="20.85546875" style="417" customWidth="1"/>
    <col min="32" max="32" width="23.42578125" style="417" customWidth="1"/>
    <col min="33" max="33" width="22.5703125" style="417" customWidth="1"/>
    <col min="34" max="35" width="27.140625" style="417" customWidth="1"/>
    <col min="36" max="39" width="23" style="417" customWidth="1"/>
    <col min="40" max="40" width="21.140625" style="417" customWidth="1"/>
    <col min="41" max="41" width="20.5703125" style="417" customWidth="1"/>
    <col min="42" max="43" width="23.85546875" style="417" customWidth="1"/>
    <col min="44" max="44" width="9.140625" style="417"/>
    <col min="45" max="45" width="15.5703125" style="417" bestFit="1" customWidth="1"/>
    <col min="46" max="16384" width="9.140625" style="417"/>
  </cols>
  <sheetData>
    <row r="2" spans="1:45" ht="18" x14ac:dyDescent="0.25">
      <c r="C2" s="415"/>
      <c r="D2" s="463" t="s">
        <v>22</v>
      </c>
      <c r="I2" s="943" t="str">
        <f>'Прочая  субсидия_БП'!G2</f>
        <v>ПО  СОСТОЯНИЮ  НА  1  ОКТЯБРЯ  2021  ГОДА</v>
      </c>
    </row>
    <row r="3" spans="1:45" ht="15.75" x14ac:dyDescent="0.25">
      <c r="B3" s="416"/>
      <c r="C3" s="416"/>
      <c r="D3" s="416"/>
      <c r="E3" s="416"/>
      <c r="F3" s="416"/>
      <c r="G3" s="416"/>
    </row>
    <row r="4" spans="1:45" ht="15.75" x14ac:dyDescent="0.25">
      <c r="L4" s="424" t="s">
        <v>0</v>
      </c>
    </row>
    <row r="5" spans="1:45" s="425" customFormat="1" ht="301.5" customHeight="1" x14ac:dyDescent="0.2">
      <c r="A5" s="1765" t="s">
        <v>12</v>
      </c>
      <c r="B5" s="1772" t="s">
        <v>1</v>
      </c>
      <c r="C5" s="1772"/>
      <c r="D5" s="1772" t="s">
        <v>561</v>
      </c>
      <c r="E5" s="1772"/>
      <c r="F5" s="1773" t="s">
        <v>516</v>
      </c>
      <c r="G5" s="1774"/>
      <c r="H5" s="1772" t="s">
        <v>222</v>
      </c>
      <c r="I5" s="1772"/>
      <c r="J5" s="1772" t="s">
        <v>515</v>
      </c>
      <c r="K5" s="1772"/>
      <c r="L5" s="1772" t="s">
        <v>388</v>
      </c>
      <c r="M5" s="1772"/>
      <c r="N5" s="1773" t="s">
        <v>395</v>
      </c>
      <c r="O5" s="1774"/>
      <c r="P5" s="1773" t="s">
        <v>524</v>
      </c>
      <c r="Q5" s="1774"/>
      <c r="R5" s="1779" t="s">
        <v>727</v>
      </c>
      <c r="S5" s="1780"/>
      <c r="T5" s="1779" t="s">
        <v>221</v>
      </c>
      <c r="U5" s="1780"/>
      <c r="V5" s="1773" t="s">
        <v>223</v>
      </c>
      <c r="W5" s="1774"/>
      <c r="X5" s="1773" t="s">
        <v>541</v>
      </c>
      <c r="Y5" s="1774"/>
      <c r="Z5" s="1773" t="s">
        <v>248</v>
      </c>
      <c r="AA5" s="1774"/>
      <c r="AB5" s="1773" t="s">
        <v>308</v>
      </c>
      <c r="AC5" s="1774"/>
      <c r="AD5" s="1773" t="s">
        <v>391</v>
      </c>
      <c r="AE5" s="1774"/>
      <c r="AF5" s="1773" t="s">
        <v>328</v>
      </c>
      <c r="AG5" s="1774"/>
      <c r="AH5" s="1773" t="s">
        <v>577</v>
      </c>
      <c r="AI5" s="1774"/>
      <c r="AJ5" s="1775" t="s">
        <v>578</v>
      </c>
      <c r="AK5" s="1776"/>
      <c r="AL5" s="1773" t="s">
        <v>846</v>
      </c>
      <c r="AM5" s="1774"/>
      <c r="AN5" s="1773" t="s">
        <v>282</v>
      </c>
      <c r="AO5" s="1774"/>
      <c r="AP5" s="1775" t="s">
        <v>663</v>
      </c>
      <c r="AQ5" s="1775"/>
    </row>
    <row r="6" spans="1:45" ht="18" customHeight="1" x14ac:dyDescent="0.2">
      <c r="A6" s="1766"/>
      <c r="B6" s="1772"/>
      <c r="C6" s="1772"/>
      <c r="D6" s="1771" t="s">
        <v>560</v>
      </c>
      <c r="E6" s="1771"/>
      <c r="F6" s="1771" t="s">
        <v>517</v>
      </c>
      <c r="G6" s="1771"/>
      <c r="H6" s="1770" t="s">
        <v>203</v>
      </c>
      <c r="I6" s="1771"/>
      <c r="J6" s="1771" t="s">
        <v>514</v>
      </c>
      <c r="K6" s="1771"/>
      <c r="L6" s="1770" t="s">
        <v>299</v>
      </c>
      <c r="M6" s="1771"/>
      <c r="N6" s="1768" t="s">
        <v>394</v>
      </c>
      <c r="O6" s="1769"/>
      <c r="P6" s="1768" t="s">
        <v>522</v>
      </c>
      <c r="Q6" s="1778"/>
      <c r="R6" s="1768" t="s">
        <v>728</v>
      </c>
      <c r="S6" s="1769"/>
      <c r="T6" s="1768" t="s">
        <v>205</v>
      </c>
      <c r="U6" s="1778"/>
      <c r="V6" s="1768" t="s">
        <v>220</v>
      </c>
      <c r="W6" s="1769"/>
      <c r="X6" s="1768" t="s">
        <v>540</v>
      </c>
      <c r="Y6" s="1769"/>
      <c r="Z6" s="1768" t="s">
        <v>204</v>
      </c>
      <c r="AA6" s="1769"/>
      <c r="AB6" s="1768" t="s">
        <v>307</v>
      </c>
      <c r="AC6" s="1769"/>
      <c r="AD6" s="1777" t="s">
        <v>202</v>
      </c>
      <c r="AE6" s="1769"/>
      <c r="AF6" s="1768" t="s">
        <v>327</v>
      </c>
      <c r="AG6" s="1769"/>
      <c r="AH6" s="1777" t="s">
        <v>217</v>
      </c>
      <c r="AI6" s="1769"/>
      <c r="AJ6" s="1768" t="s">
        <v>310</v>
      </c>
      <c r="AK6" s="1769"/>
      <c r="AL6" s="1768" t="s">
        <v>844</v>
      </c>
      <c r="AM6" s="1769"/>
      <c r="AN6" s="1770" t="s">
        <v>281</v>
      </c>
      <c r="AO6" s="1770"/>
      <c r="AP6" s="1768" t="s">
        <v>389</v>
      </c>
      <c r="AQ6" s="1769"/>
    </row>
    <row r="7" spans="1:45" s="427" customFormat="1" ht="18" customHeight="1" x14ac:dyDescent="0.2">
      <c r="A7" s="1767"/>
      <c r="B7" s="426" t="s">
        <v>156</v>
      </c>
      <c r="C7" s="426" t="s">
        <v>157</v>
      </c>
      <c r="D7" s="426" t="s">
        <v>156</v>
      </c>
      <c r="E7" s="426" t="s">
        <v>157</v>
      </c>
      <c r="F7" s="426" t="s">
        <v>156</v>
      </c>
      <c r="G7" s="426" t="s">
        <v>157</v>
      </c>
      <c r="H7" s="426" t="s">
        <v>156</v>
      </c>
      <c r="I7" s="426" t="s">
        <v>157</v>
      </c>
      <c r="J7" s="426" t="s">
        <v>156</v>
      </c>
      <c r="K7" s="426" t="s">
        <v>157</v>
      </c>
      <c r="L7" s="426" t="s">
        <v>156</v>
      </c>
      <c r="M7" s="426" t="s">
        <v>157</v>
      </c>
      <c r="N7" s="426" t="s">
        <v>156</v>
      </c>
      <c r="O7" s="426" t="s">
        <v>157</v>
      </c>
      <c r="P7" s="426" t="s">
        <v>156</v>
      </c>
      <c r="Q7" s="426" t="s">
        <v>157</v>
      </c>
      <c r="R7" s="426" t="s">
        <v>156</v>
      </c>
      <c r="S7" s="426" t="s">
        <v>157</v>
      </c>
      <c r="T7" s="426" t="s">
        <v>156</v>
      </c>
      <c r="U7" s="426" t="s">
        <v>157</v>
      </c>
      <c r="V7" s="426" t="s">
        <v>156</v>
      </c>
      <c r="W7" s="426" t="s">
        <v>157</v>
      </c>
      <c r="X7" s="426" t="s">
        <v>156</v>
      </c>
      <c r="Y7" s="426" t="s">
        <v>157</v>
      </c>
      <c r="Z7" s="426" t="s">
        <v>156</v>
      </c>
      <c r="AA7" s="426" t="s">
        <v>157</v>
      </c>
      <c r="AB7" s="426" t="s">
        <v>156</v>
      </c>
      <c r="AC7" s="426" t="s">
        <v>157</v>
      </c>
      <c r="AD7" s="426" t="s">
        <v>156</v>
      </c>
      <c r="AE7" s="426" t="s">
        <v>157</v>
      </c>
      <c r="AF7" s="426" t="s">
        <v>156</v>
      </c>
      <c r="AG7" s="426" t="s">
        <v>157</v>
      </c>
      <c r="AH7" s="426" t="s">
        <v>156</v>
      </c>
      <c r="AI7" s="426" t="s">
        <v>157</v>
      </c>
      <c r="AJ7" s="426" t="s">
        <v>156</v>
      </c>
      <c r="AK7" s="426" t="s">
        <v>157</v>
      </c>
      <c r="AL7" s="426" t="s">
        <v>156</v>
      </c>
      <c r="AM7" s="426" t="s">
        <v>157</v>
      </c>
      <c r="AN7" s="426" t="s">
        <v>156</v>
      </c>
      <c r="AO7" s="426" t="s">
        <v>157</v>
      </c>
      <c r="AP7" s="426" t="s">
        <v>156</v>
      </c>
      <c r="AQ7" s="426" t="s">
        <v>157</v>
      </c>
    </row>
    <row r="8" spans="1:45" s="432" customFormat="1" ht="21" customHeight="1" x14ac:dyDescent="0.25">
      <c r="A8" s="428" t="s">
        <v>79</v>
      </c>
      <c r="B8" s="148">
        <f>D8+H8+J8+N8+T8+AD8+AH8+AN8+V8+Z8+P8+L8+AB8+X8+AF8+AP8+F8+R8+AJ8+AL8</f>
        <v>4967994.57</v>
      </c>
      <c r="C8" s="148">
        <f>E8+I8+K8+O8+U8+AE8+AI8+AO8+W8+AA8+Q8+M8+AC8+Y8+AG8+AQ8+G8+S8+AK8+AM8</f>
        <v>4026380.55</v>
      </c>
      <c r="D8" s="151">
        <f>[1]Субсидия_факт!Z10</f>
        <v>0</v>
      </c>
      <c r="E8" s="884"/>
      <c r="F8" s="151">
        <f>[1]Субсидия_факт!AZ10</f>
        <v>0</v>
      </c>
      <c r="G8" s="718"/>
      <c r="H8" s="151">
        <f>[1]Субсидия_факт!BB10</f>
        <v>1956005.79</v>
      </c>
      <c r="I8" s="884">
        <f>H8</f>
        <v>1956005.79</v>
      </c>
      <c r="J8" s="151">
        <f>[1]Субсидия_факт!BD10</f>
        <v>42878.48</v>
      </c>
      <c r="K8" s="718">
        <v>30174</v>
      </c>
      <c r="L8" s="151">
        <f>[1]Субсидия_факт!BF10</f>
        <v>0</v>
      </c>
      <c r="M8" s="718"/>
      <c r="N8" s="151">
        <f>[1]Субсидия_факт!ED10</f>
        <v>0</v>
      </c>
      <c r="O8" s="884"/>
      <c r="P8" s="151">
        <f>[1]Субсидия_факт!EJ10</f>
        <v>116272.08</v>
      </c>
      <c r="Q8" s="718">
        <v>116272.08</v>
      </c>
      <c r="R8" s="979">
        <f>[1]Субсидия_факт!EP10</f>
        <v>0</v>
      </c>
      <c r="S8" s="980"/>
      <c r="T8" s="151">
        <f>[1]Субсидия_факт!EZ10</f>
        <v>0</v>
      </c>
      <c r="U8" s="718"/>
      <c r="V8" s="151">
        <f>[1]Субсидия_факт!FX10</f>
        <v>0</v>
      </c>
      <c r="W8" s="718"/>
      <c r="X8" s="151">
        <f>[1]Субсидия_факт!GH10</f>
        <v>0</v>
      </c>
      <c r="Y8" s="718"/>
      <c r="Z8" s="151">
        <f>[1]Субсидия_факт!GP10</f>
        <v>1300000</v>
      </c>
      <c r="AA8" s="718">
        <v>1251140.6499999999</v>
      </c>
      <c r="AB8" s="151">
        <f>[1]Субсидия_факт!GV10</f>
        <v>0</v>
      </c>
      <c r="AC8" s="718"/>
      <c r="AD8" s="151">
        <f>[1]Субсидия_факт!GZ10</f>
        <v>1225858.05</v>
      </c>
      <c r="AE8" s="718">
        <v>563967.11</v>
      </c>
      <c r="AF8" s="151">
        <f>[1]Субсидия_факт!HN10</f>
        <v>0</v>
      </c>
      <c r="AG8" s="718"/>
      <c r="AH8" s="151">
        <f>[1]Субсидия_факт!IH10</f>
        <v>0</v>
      </c>
      <c r="AI8" s="718"/>
      <c r="AJ8" s="151">
        <f>[1]Субсидия_факт!IN10</f>
        <v>0</v>
      </c>
      <c r="AK8" s="718"/>
      <c r="AL8" s="151">
        <f>[1]Субсидия_факт!IT10</f>
        <v>0</v>
      </c>
      <c r="AM8" s="1509"/>
      <c r="AN8" s="151">
        <f>[1]Субсидия_факт!JH10</f>
        <v>326980.17</v>
      </c>
      <c r="AO8" s="1509">
        <v>108820.92</v>
      </c>
      <c r="AP8" s="414">
        <f>[1]Субсидия_факт!JN10</f>
        <v>0</v>
      </c>
      <c r="AQ8" s="718"/>
      <c r="AS8" s="1483"/>
    </row>
    <row r="9" spans="1:45" s="424" customFormat="1" ht="21" customHeight="1" x14ac:dyDescent="0.25">
      <c r="A9" s="428" t="s">
        <v>80</v>
      </c>
      <c r="B9" s="148">
        <f t="shared" ref="B9:B25" si="0">D9+H9+J9+N9+T9+AD9+AH9+AN9+V9+Z9+P9+L9+AB9+X9+AF9+AP9+F9+R9+AJ9+AL9</f>
        <v>18037024.900000002</v>
      </c>
      <c r="C9" s="148">
        <f t="shared" ref="C9:C25" si="1">E9+I9+K9+O9+U9+AE9+AI9+AO9+W9+AA9+Q9+M9+AC9+Y9+AG9+AQ9+G9+S9+AK9+AM9</f>
        <v>13997628.690000001</v>
      </c>
      <c r="D9" s="151">
        <f>[1]Субсидия_факт!Z11</f>
        <v>186957.54</v>
      </c>
      <c r="E9" s="718">
        <v>71746.820000000007</v>
      </c>
      <c r="F9" s="151">
        <f>[1]Субсидия_факт!AZ11</f>
        <v>0</v>
      </c>
      <c r="G9" s="718"/>
      <c r="H9" s="151">
        <f>[1]Субсидия_факт!BB11</f>
        <v>0</v>
      </c>
      <c r="I9" s="718">
        <v>0</v>
      </c>
      <c r="J9" s="151">
        <f>[1]Субсидия_факт!BD11</f>
        <v>72648.53</v>
      </c>
      <c r="K9" s="718">
        <v>72648.53</v>
      </c>
      <c r="L9" s="151">
        <f>[1]Субсидия_факт!BF11</f>
        <v>266961.18</v>
      </c>
      <c r="M9" s="718">
        <v>266961.18</v>
      </c>
      <c r="N9" s="151">
        <f>[1]Субсидия_факт!ED11</f>
        <v>19638.91</v>
      </c>
      <c r="O9" s="884">
        <f>N9</f>
        <v>19638.91</v>
      </c>
      <c r="P9" s="151">
        <f>[1]Субсидия_факт!EJ11</f>
        <v>1036345.55</v>
      </c>
      <c r="Q9" s="718">
        <v>864778.75</v>
      </c>
      <c r="R9" s="979">
        <f>[1]Субсидия_факт!EP11</f>
        <v>0</v>
      </c>
      <c r="S9" s="980"/>
      <c r="T9" s="151">
        <f>[1]Субсидия_факт!EZ11</f>
        <v>0</v>
      </c>
      <c r="U9" s="718"/>
      <c r="V9" s="151">
        <f>[1]Субсидия_факт!FX11</f>
        <v>0</v>
      </c>
      <c r="W9" s="718"/>
      <c r="X9" s="151">
        <f>[1]Субсидия_факт!GH11</f>
        <v>0</v>
      </c>
      <c r="Y9" s="718"/>
      <c r="Z9" s="151">
        <f>[1]Субсидия_факт!GP11</f>
        <v>0</v>
      </c>
      <c r="AA9" s="718"/>
      <c r="AB9" s="151">
        <f>[1]Субсидия_факт!GV11</f>
        <v>0</v>
      </c>
      <c r="AC9" s="718"/>
      <c r="AD9" s="151">
        <f>[1]Субсидия_факт!GZ11</f>
        <v>2005897.24</v>
      </c>
      <c r="AE9" s="718">
        <v>619362.04</v>
      </c>
      <c r="AF9" s="151">
        <f>[1]Субсидия_факт!HN11</f>
        <v>0</v>
      </c>
      <c r="AG9" s="718"/>
      <c r="AH9" s="151">
        <f>[1]Субсидия_факт!IH11</f>
        <v>14131037.450000001</v>
      </c>
      <c r="AI9" s="718">
        <v>11842332.4</v>
      </c>
      <c r="AJ9" s="151">
        <f>[1]Субсидия_факт!IN11</f>
        <v>0</v>
      </c>
      <c r="AK9" s="718"/>
      <c r="AL9" s="151">
        <f>[1]Субсидия_факт!IT11</f>
        <v>0</v>
      </c>
      <c r="AM9" s="1509"/>
      <c r="AN9" s="151">
        <f>[1]Субсидия_факт!JH11</f>
        <v>317538.5</v>
      </c>
      <c r="AO9" s="1509">
        <v>240160.06</v>
      </c>
      <c r="AP9" s="414">
        <f>[1]Субсидия_факт!JN11</f>
        <v>0</v>
      </c>
      <c r="AQ9" s="718"/>
      <c r="AS9" s="1483"/>
    </row>
    <row r="10" spans="1:45" s="424" customFormat="1" ht="21" customHeight="1" x14ac:dyDescent="0.25">
      <c r="A10" s="428" t="s">
        <v>81</v>
      </c>
      <c r="B10" s="148">
        <f t="shared" si="0"/>
        <v>193728269.80000001</v>
      </c>
      <c r="C10" s="148">
        <f t="shared" si="1"/>
        <v>103277706.14</v>
      </c>
      <c r="D10" s="151">
        <f>[1]Субсидия_факт!Z12</f>
        <v>332742.40000000002</v>
      </c>
      <c r="E10" s="718">
        <v>134240.13</v>
      </c>
      <c r="F10" s="151">
        <f>[1]Субсидия_факт!AZ12</f>
        <v>0</v>
      </c>
      <c r="G10" s="718"/>
      <c r="H10" s="151">
        <f>[1]Субсидия_факт!BB12</f>
        <v>6132237.8399999999</v>
      </c>
      <c r="I10" s="718">
        <v>5927812</v>
      </c>
      <c r="J10" s="151">
        <f>[1]Субсидия_факт!BD12</f>
        <v>81339.460000000006</v>
      </c>
      <c r="K10" s="718">
        <v>24904</v>
      </c>
      <c r="L10" s="151">
        <f>[1]Субсидия_факт!BF12</f>
        <v>657264.43000000005</v>
      </c>
      <c r="M10" s="718">
        <v>655416.43000000005</v>
      </c>
      <c r="N10" s="151">
        <f>[1]Субсидия_факт!ED12</f>
        <v>8926.7800000000007</v>
      </c>
      <c r="O10" s="884">
        <f>N10</f>
        <v>8926.7800000000007</v>
      </c>
      <c r="P10" s="151">
        <f>[1]Субсидия_факт!EJ12</f>
        <v>570115.92000000004</v>
      </c>
      <c r="Q10" s="718">
        <v>570115.92000000004</v>
      </c>
      <c r="R10" s="979">
        <f>[1]Субсидия_факт!EP12</f>
        <v>2405900</v>
      </c>
      <c r="S10" s="980"/>
      <c r="T10" s="151">
        <f>[1]Субсидия_факт!EZ12</f>
        <v>0</v>
      </c>
      <c r="U10" s="718"/>
      <c r="V10" s="151">
        <f>[1]Субсидия_факт!FX12</f>
        <v>96489.69</v>
      </c>
      <c r="W10" s="884">
        <f>V10</f>
        <v>96489.69</v>
      </c>
      <c r="X10" s="151">
        <f>[1]Субсидия_факт!GH12</f>
        <v>160103.26999999999</v>
      </c>
      <c r="Y10" s="884">
        <f>X10</f>
        <v>160103.26999999999</v>
      </c>
      <c r="Z10" s="151">
        <f>[1]Субсидия_факт!GP12</f>
        <v>0</v>
      </c>
      <c r="AA10" s="718"/>
      <c r="AB10" s="151">
        <f>[1]Субсидия_факт!GV12</f>
        <v>0</v>
      </c>
      <c r="AC10" s="718"/>
      <c r="AD10" s="151">
        <f>[1]Субсидия_факт!GZ12</f>
        <v>1898325.46</v>
      </c>
      <c r="AE10" s="718">
        <v>750388.21</v>
      </c>
      <c r="AF10" s="151">
        <f>[1]Субсидия_факт!HN12</f>
        <v>180934697.87</v>
      </c>
      <c r="AG10" s="718">
        <v>94682697.700000003</v>
      </c>
      <c r="AH10" s="151">
        <f>[1]Субсидия_факт!IH12</f>
        <v>0</v>
      </c>
      <c r="AI10" s="718"/>
      <c r="AJ10" s="151">
        <f>[1]Субсидия_факт!IN12</f>
        <v>0</v>
      </c>
      <c r="AK10" s="718"/>
      <c r="AL10" s="151">
        <f>[1]Субсидия_факт!IT12</f>
        <v>0</v>
      </c>
      <c r="AM10" s="1509"/>
      <c r="AN10" s="151">
        <f>[1]Субсидия_факт!JH12</f>
        <v>450126.67999999993</v>
      </c>
      <c r="AO10" s="1509">
        <v>266612.01</v>
      </c>
      <c r="AP10" s="414">
        <f>[1]Субсидия_факт!JN12</f>
        <v>0</v>
      </c>
      <c r="AQ10" s="718"/>
      <c r="AS10" s="1483"/>
    </row>
    <row r="11" spans="1:45" s="424" customFormat="1" ht="21" customHeight="1" x14ac:dyDescent="0.25">
      <c r="A11" s="428" t="s">
        <v>82</v>
      </c>
      <c r="B11" s="148">
        <f t="shared" si="0"/>
        <v>12892842.439999999</v>
      </c>
      <c r="C11" s="148">
        <f t="shared" si="1"/>
        <v>7569775.5799999991</v>
      </c>
      <c r="D11" s="151">
        <f>[1]Субсидия_факт!Z13</f>
        <v>453313.63</v>
      </c>
      <c r="E11" s="718">
        <v>257775.24</v>
      </c>
      <c r="F11" s="151">
        <f>[1]Субсидия_факт!AZ13</f>
        <v>0</v>
      </c>
      <c r="G11" s="718"/>
      <c r="H11" s="151">
        <f>[1]Субсидия_факт!BB13</f>
        <v>3554462.23</v>
      </c>
      <c r="I11" s="884">
        <f t="shared" ref="G11:I15" si="2">H11</f>
        <v>3554462.23</v>
      </c>
      <c r="J11" s="151">
        <f>[1]Субсидия_факт!BD13</f>
        <v>109963.12</v>
      </c>
      <c r="K11" s="718">
        <v>109963.12</v>
      </c>
      <c r="L11" s="151">
        <f>[1]Субсидия_факт!BF13</f>
        <v>0</v>
      </c>
      <c r="M11" s="718">
        <v>0</v>
      </c>
      <c r="N11" s="151">
        <f>[1]Субсидия_факт!ED13</f>
        <v>32102.899999999998</v>
      </c>
      <c r="O11" s="884">
        <f>N11</f>
        <v>32102.899999999998</v>
      </c>
      <c r="P11" s="151">
        <f>[1]Субсидия_факт!EJ13</f>
        <v>2229547.11</v>
      </c>
      <c r="Q11" s="718">
        <v>1799433.3</v>
      </c>
      <c r="R11" s="979">
        <f>[1]Субсидия_факт!EP13</f>
        <v>0</v>
      </c>
      <c r="S11" s="980"/>
      <c r="T11" s="151">
        <f>[1]Субсидия_факт!EZ13</f>
        <v>0</v>
      </c>
      <c r="U11" s="718"/>
      <c r="V11" s="151">
        <f>[1]Субсидия_факт!FX13</f>
        <v>0</v>
      </c>
      <c r="W11" s="718"/>
      <c r="X11" s="151">
        <f>[1]Субсидия_факт!GH13</f>
        <v>0</v>
      </c>
      <c r="Y11" s="718"/>
      <c r="Z11" s="151">
        <f>[1]Субсидия_факт!GP13</f>
        <v>4937742</v>
      </c>
      <c r="AA11" s="718">
        <v>886763.95</v>
      </c>
      <c r="AB11" s="151">
        <f>[1]Субсидия_факт!GV13</f>
        <v>0</v>
      </c>
      <c r="AC11" s="718"/>
      <c r="AD11" s="151">
        <f>[1]Субсидия_факт!GZ13</f>
        <v>1151282.6200000001</v>
      </c>
      <c r="AE11" s="718">
        <v>697027.79</v>
      </c>
      <c r="AF11" s="151">
        <f>[1]Субсидия_факт!HN13</f>
        <v>0</v>
      </c>
      <c r="AG11" s="718"/>
      <c r="AH11" s="151">
        <f>[1]Субсидия_факт!IH13</f>
        <v>0</v>
      </c>
      <c r="AI11" s="718"/>
      <c r="AJ11" s="151">
        <f>[1]Субсидия_факт!IN13</f>
        <v>0</v>
      </c>
      <c r="AK11" s="718"/>
      <c r="AL11" s="151">
        <f>[1]Субсидия_факт!IT13</f>
        <v>0</v>
      </c>
      <c r="AM11" s="1509"/>
      <c r="AN11" s="151">
        <f>[1]Субсидия_факт!JH13</f>
        <v>424428.83</v>
      </c>
      <c r="AO11" s="1509">
        <v>232247.05</v>
      </c>
      <c r="AP11" s="414">
        <f>[1]Субсидия_факт!JN13</f>
        <v>0</v>
      </c>
      <c r="AQ11" s="718"/>
      <c r="AS11" s="1483"/>
    </row>
    <row r="12" spans="1:45" s="424" customFormat="1" ht="21" customHeight="1" x14ac:dyDescent="0.25">
      <c r="A12" s="428" t="s">
        <v>83</v>
      </c>
      <c r="B12" s="148">
        <f t="shared" si="0"/>
        <v>24264524.960000001</v>
      </c>
      <c r="C12" s="148">
        <f t="shared" si="1"/>
        <v>16737542.359999999</v>
      </c>
      <c r="D12" s="151">
        <f>[1]Субсидия_факт!Z14</f>
        <v>276445.08</v>
      </c>
      <c r="E12" s="718">
        <v>49902.28</v>
      </c>
      <c r="F12" s="151">
        <f>[1]Субсидия_факт!AZ14</f>
        <v>0</v>
      </c>
      <c r="G12" s="718"/>
      <c r="H12" s="151">
        <f>[1]Субсидия_факт!BB14</f>
        <v>2001494.3</v>
      </c>
      <c r="I12" s="884">
        <f t="shared" si="2"/>
        <v>2001494.3</v>
      </c>
      <c r="J12" s="151">
        <f>[1]Субсидия_факт!BD14</f>
        <v>71088</v>
      </c>
      <c r="K12" s="718">
        <v>4512</v>
      </c>
      <c r="L12" s="151">
        <f>[1]Субсидия_факт!BF14</f>
        <v>0</v>
      </c>
      <c r="M12" s="718"/>
      <c r="N12" s="151">
        <f>[1]Субсидия_факт!ED14</f>
        <v>4012.8599999999997</v>
      </c>
      <c r="O12" s="884">
        <f t="shared" ref="O12:O25" si="3">N12</f>
        <v>4012.8599999999997</v>
      </c>
      <c r="P12" s="151">
        <f>[1]Субсидия_факт!EJ14</f>
        <v>543601.93999999994</v>
      </c>
      <c r="Q12" s="718">
        <v>0</v>
      </c>
      <c r="R12" s="979">
        <f>[1]Субсидия_факт!EP14</f>
        <v>633600</v>
      </c>
      <c r="S12" s="980"/>
      <c r="T12" s="151">
        <f>[1]Субсидия_факт!EZ14</f>
        <v>19734130</v>
      </c>
      <c r="U12" s="718">
        <v>14053535.620000001</v>
      </c>
      <c r="V12" s="151">
        <f>[1]Субсидия_факт!FX14</f>
        <v>111584.86</v>
      </c>
      <c r="W12" s="884">
        <f>V12</f>
        <v>111584.86</v>
      </c>
      <c r="X12" s="151">
        <f>[1]Субсидия_факт!GH14</f>
        <v>0</v>
      </c>
      <c r="Y12" s="718"/>
      <c r="Z12" s="151">
        <f>[1]Субсидия_факт!GP14</f>
        <v>211689.62</v>
      </c>
      <c r="AA12" s="718"/>
      <c r="AB12" s="151">
        <f>[1]Субсидия_факт!GV14</f>
        <v>0</v>
      </c>
      <c r="AC12" s="718"/>
      <c r="AD12" s="151">
        <f>[1]Субсидия_факт!GZ14</f>
        <v>541762.53</v>
      </c>
      <c r="AE12" s="718">
        <v>423984.74</v>
      </c>
      <c r="AF12" s="151">
        <f>[1]Субсидия_факт!HN14</f>
        <v>0</v>
      </c>
      <c r="AG12" s="718"/>
      <c r="AH12" s="151">
        <f>[1]Субсидия_факт!IH14</f>
        <v>0</v>
      </c>
      <c r="AI12" s="718"/>
      <c r="AJ12" s="151">
        <f>[1]Субсидия_факт!IN14</f>
        <v>0</v>
      </c>
      <c r="AK12" s="718"/>
      <c r="AL12" s="151">
        <f>[1]Субсидия_факт!IT14</f>
        <v>0</v>
      </c>
      <c r="AM12" s="718"/>
      <c r="AN12" s="151">
        <f>[1]Субсидия_факт!JH14</f>
        <v>135115.76999999999</v>
      </c>
      <c r="AO12" s="718">
        <v>88515.7</v>
      </c>
      <c r="AP12" s="414">
        <f>[1]Субсидия_факт!JN14</f>
        <v>0</v>
      </c>
      <c r="AQ12" s="718"/>
      <c r="AS12" s="1483"/>
    </row>
    <row r="13" spans="1:45" s="424" customFormat="1" ht="21" customHeight="1" x14ac:dyDescent="0.25">
      <c r="A13" s="428" t="s">
        <v>84</v>
      </c>
      <c r="B13" s="148">
        <f t="shared" si="0"/>
        <v>13067855.119999999</v>
      </c>
      <c r="C13" s="148">
        <f t="shared" si="1"/>
        <v>8354190.459999999</v>
      </c>
      <c r="D13" s="151">
        <f>[1]Субсидия_факт!Z15</f>
        <v>399122.83</v>
      </c>
      <c r="E13" s="718">
        <v>257242.69</v>
      </c>
      <c r="F13" s="151">
        <f>[1]Субсидия_факт!AZ15</f>
        <v>0</v>
      </c>
      <c r="G13" s="718"/>
      <c r="H13" s="151">
        <f>[1]Субсидия_факт!BB15</f>
        <v>3861683.87</v>
      </c>
      <c r="I13" s="884">
        <f t="shared" si="2"/>
        <v>3861683.87</v>
      </c>
      <c r="J13" s="151">
        <f>[1]Субсидия_факт!BD15</f>
        <v>54168.29</v>
      </c>
      <c r="K13" s="718">
        <v>43802.6</v>
      </c>
      <c r="L13" s="151">
        <f>[1]Субсидия_факт!BF15</f>
        <v>0</v>
      </c>
      <c r="M13" s="718"/>
      <c r="N13" s="151">
        <f>[1]Субсидия_факт!ED15</f>
        <v>23446.45</v>
      </c>
      <c r="O13" s="884">
        <f t="shared" si="3"/>
        <v>23446.45</v>
      </c>
      <c r="P13" s="151">
        <f>[1]Субсидия_факт!EJ15</f>
        <v>796994.59</v>
      </c>
      <c r="Q13" s="718">
        <v>434496.09</v>
      </c>
      <c r="R13" s="979">
        <f>[1]Субсидия_факт!EP15</f>
        <v>0</v>
      </c>
      <c r="S13" s="980"/>
      <c r="T13" s="151">
        <f>[1]Субсидия_факт!EZ15</f>
        <v>0</v>
      </c>
      <c r="U13" s="718"/>
      <c r="V13" s="151">
        <f>[1]Субсидия_факт!FX15</f>
        <v>84849.64</v>
      </c>
      <c r="W13" s="884">
        <f>V13</f>
        <v>84849.64</v>
      </c>
      <c r="X13" s="151">
        <f>[1]Субсидия_факт!GH15</f>
        <v>148733.26999999999</v>
      </c>
      <c r="Y13" s="884">
        <f>X13</f>
        <v>148733.26999999999</v>
      </c>
      <c r="Z13" s="151">
        <f>[1]Субсидия_факт!GP15</f>
        <v>7025801</v>
      </c>
      <c r="AA13" s="718">
        <v>3149290.14</v>
      </c>
      <c r="AB13" s="151">
        <f>[1]Субсидия_факт!GV15</f>
        <v>0</v>
      </c>
      <c r="AC13" s="718"/>
      <c r="AD13" s="151">
        <f>[1]Субсидия_факт!GZ15</f>
        <v>452491.76</v>
      </c>
      <c r="AE13" s="718">
        <v>201271.55</v>
      </c>
      <c r="AF13" s="151">
        <f>[1]Субсидия_факт!HN15</f>
        <v>0</v>
      </c>
      <c r="AG13" s="718"/>
      <c r="AH13" s="151">
        <f>[1]Субсидия_факт!IH15</f>
        <v>0</v>
      </c>
      <c r="AI13" s="718"/>
      <c r="AJ13" s="151">
        <f>[1]Субсидия_факт!IN15</f>
        <v>0</v>
      </c>
      <c r="AK13" s="718"/>
      <c r="AL13" s="151">
        <f>[1]Субсидия_факт!IT15</f>
        <v>0</v>
      </c>
      <c r="AM13" s="718"/>
      <c r="AN13" s="151">
        <f>[1]Субсидия_факт!JH15</f>
        <v>220563.42</v>
      </c>
      <c r="AO13" s="718">
        <v>149374.16</v>
      </c>
      <c r="AP13" s="414">
        <f>[1]Субсидия_факт!JN15</f>
        <v>0</v>
      </c>
      <c r="AQ13" s="718"/>
      <c r="AS13" s="1483"/>
    </row>
    <row r="14" spans="1:45" s="424" customFormat="1" ht="21" customHeight="1" x14ac:dyDescent="0.25">
      <c r="A14" s="428" t="s">
        <v>85</v>
      </c>
      <c r="B14" s="148">
        <f t="shared" si="0"/>
        <v>11284386.65</v>
      </c>
      <c r="C14" s="148">
        <f t="shared" si="1"/>
        <v>7776336.8299999991</v>
      </c>
      <c r="D14" s="151">
        <f>[1]Субсидия_факт!Z16</f>
        <v>119736.85</v>
      </c>
      <c r="E14" s="718">
        <v>64433.06</v>
      </c>
      <c r="F14" s="151">
        <f>[1]Субсидия_факт!AZ16</f>
        <v>305665</v>
      </c>
      <c r="G14" s="884">
        <f t="shared" si="2"/>
        <v>305665</v>
      </c>
      <c r="H14" s="151">
        <f>[1]Субсидия_факт!BB16</f>
        <v>5700580.9500000002</v>
      </c>
      <c r="I14" s="884">
        <f t="shared" si="2"/>
        <v>5700580.9500000002</v>
      </c>
      <c r="J14" s="151">
        <f>[1]Субсидия_факт!BD16</f>
        <v>84958.68</v>
      </c>
      <c r="K14" s="718">
        <v>47500</v>
      </c>
      <c r="L14" s="151">
        <f>[1]Субсидия_факт!BF16</f>
        <v>0</v>
      </c>
      <c r="M14" s="718"/>
      <c r="N14" s="151">
        <f>[1]Субсидия_факт!ED16</f>
        <v>21642.880000000001</v>
      </c>
      <c r="O14" s="884">
        <f t="shared" si="3"/>
        <v>21642.880000000001</v>
      </c>
      <c r="P14" s="151">
        <f>[1]Субсидия_факт!EJ16</f>
        <v>1810368.28</v>
      </c>
      <c r="Q14" s="718">
        <v>1018437.68</v>
      </c>
      <c r="R14" s="979">
        <f>[1]Субсидия_факт!EP16</f>
        <v>1455300</v>
      </c>
      <c r="S14" s="980"/>
      <c r="T14" s="151">
        <f>[1]Субсидия_факт!EZ16</f>
        <v>0</v>
      </c>
      <c r="U14" s="718"/>
      <c r="V14" s="151">
        <f>[1]Субсидия_факт!FX16</f>
        <v>139017.20000000001</v>
      </c>
      <c r="W14" s="884">
        <f>V14</f>
        <v>139017.20000000001</v>
      </c>
      <c r="X14" s="151">
        <f>[1]Субсидия_факт!GH16</f>
        <v>0</v>
      </c>
      <c r="Y14" s="718"/>
      <c r="Z14" s="151">
        <f>[1]Субсидия_факт!GP16</f>
        <v>0</v>
      </c>
      <c r="AA14" s="718"/>
      <c r="AB14" s="151">
        <f>[1]Субсидия_факт!GV16</f>
        <v>0</v>
      </c>
      <c r="AC14" s="718"/>
      <c r="AD14" s="151">
        <f>[1]Субсидия_факт!GZ16</f>
        <v>1346085.33</v>
      </c>
      <c r="AE14" s="718">
        <v>286353.28999999998</v>
      </c>
      <c r="AF14" s="151">
        <f>[1]Субсидия_факт!HN16</f>
        <v>0</v>
      </c>
      <c r="AG14" s="718"/>
      <c r="AH14" s="151">
        <f>[1]Субсидия_факт!IH16</f>
        <v>0</v>
      </c>
      <c r="AI14" s="718"/>
      <c r="AJ14" s="151">
        <f>[1]Субсидия_факт!IN16</f>
        <v>0</v>
      </c>
      <c r="AK14" s="718"/>
      <c r="AL14" s="151">
        <f>[1]Субсидия_факт!IT16</f>
        <v>0</v>
      </c>
      <c r="AM14" s="1509"/>
      <c r="AN14" s="151">
        <f>[1]Субсидия_факт!JH16</f>
        <v>301031.48</v>
      </c>
      <c r="AO14" s="1509">
        <v>192706.77</v>
      </c>
      <c r="AP14" s="414">
        <f>[1]Субсидия_факт!JN16</f>
        <v>0</v>
      </c>
      <c r="AQ14" s="718"/>
      <c r="AS14" s="1483"/>
    </row>
    <row r="15" spans="1:45" s="424" customFormat="1" ht="21" customHeight="1" x14ac:dyDescent="0.25">
      <c r="A15" s="428" t="s">
        <v>86</v>
      </c>
      <c r="B15" s="148">
        <f t="shared" si="0"/>
        <v>10069857.529999999</v>
      </c>
      <c r="C15" s="148">
        <f t="shared" si="1"/>
        <v>7718899.5</v>
      </c>
      <c r="D15" s="151">
        <f>[1]Субсидия_факт!Z17</f>
        <v>319298.27</v>
      </c>
      <c r="E15" s="718">
        <v>146875.72</v>
      </c>
      <c r="F15" s="151">
        <f>[1]Субсидия_факт!AZ17</f>
        <v>0</v>
      </c>
      <c r="G15" s="718"/>
      <c r="H15" s="151">
        <f>[1]Субсидия_факт!BB17</f>
        <v>2006604.49</v>
      </c>
      <c r="I15" s="884">
        <f t="shared" si="2"/>
        <v>2006604.49</v>
      </c>
      <c r="J15" s="151">
        <f>[1]Субсидия_факт!BD17</f>
        <v>89520.22</v>
      </c>
      <c r="K15" s="718">
        <v>89520.22</v>
      </c>
      <c r="L15" s="151">
        <f>[1]Субсидия_факт!BF17</f>
        <v>472263.2</v>
      </c>
      <c r="M15" s="718">
        <v>369459.46</v>
      </c>
      <c r="N15" s="151">
        <f>[1]Субсидия_факт!ED17</f>
        <v>18035.73</v>
      </c>
      <c r="O15" s="884">
        <f t="shared" si="3"/>
        <v>18035.73</v>
      </c>
      <c r="P15" s="151">
        <f>[1]Субсидия_факт!EJ17</f>
        <v>427567.03</v>
      </c>
      <c r="Q15" s="718">
        <v>427567.03</v>
      </c>
      <c r="R15" s="979">
        <f>[1]Субсидия_факт!EP17</f>
        <v>0</v>
      </c>
      <c r="S15" s="980"/>
      <c r="T15" s="151">
        <f>[1]Субсидия_факт!EZ17</f>
        <v>0</v>
      </c>
      <c r="U15" s="718"/>
      <c r="V15" s="151">
        <f>[1]Субсидия_факт!FX17</f>
        <v>0</v>
      </c>
      <c r="W15" s="718"/>
      <c r="X15" s="151">
        <f>[1]Субсидия_факт!GH17</f>
        <v>144265.26999999999</v>
      </c>
      <c r="Y15" s="718">
        <v>75600</v>
      </c>
      <c r="Z15" s="151">
        <f>[1]Субсидия_факт!GP17</f>
        <v>5894189.4300000006</v>
      </c>
      <c r="AA15" s="718">
        <v>4124405.05</v>
      </c>
      <c r="AB15" s="151">
        <f>[1]Субсидия_факт!GV17</f>
        <v>0</v>
      </c>
      <c r="AC15" s="718"/>
      <c r="AD15" s="151">
        <f>[1]Субсидия_факт!GZ17</f>
        <v>650320.28</v>
      </c>
      <c r="AE15" s="718">
        <v>446493.72</v>
      </c>
      <c r="AF15" s="151">
        <f>[1]Субсидия_факт!HN17</f>
        <v>0</v>
      </c>
      <c r="AG15" s="718"/>
      <c r="AH15" s="151">
        <f>[1]Субсидия_факт!IH17</f>
        <v>0</v>
      </c>
      <c r="AI15" s="718"/>
      <c r="AJ15" s="151">
        <f>[1]Субсидия_факт!IN17</f>
        <v>0</v>
      </c>
      <c r="AK15" s="718"/>
      <c r="AL15" s="151">
        <f>[1]Субсидия_факт!IT17</f>
        <v>0</v>
      </c>
      <c r="AM15" s="718"/>
      <c r="AN15" s="151">
        <f>[1]Субсидия_факт!JH17</f>
        <v>47793.61</v>
      </c>
      <c r="AO15" s="718">
        <v>14338.08</v>
      </c>
      <c r="AP15" s="414">
        <f>[1]Субсидия_факт!JN17</f>
        <v>0</v>
      </c>
      <c r="AQ15" s="718"/>
      <c r="AS15" s="1483"/>
    </row>
    <row r="16" spans="1:45" s="424" customFormat="1" ht="21" customHeight="1" x14ac:dyDescent="0.25">
      <c r="A16" s="428" t="s">
        <v>87</v>
      </c>
      <c r="B16" s="148">
        <f t="shared" si="0"/>
        <v>10114221.609999999</v>
      </c>
      <c r="C16" s="148">
        <f t="shared" si="1"/>
        <v>8011092.6499999994</v>
      </c>
      <c r="D16" s="151">
        <f>[1]Субсидия_факт!Z18</f>
        <v>402315.81</v>
      </c>
      <c r="E16" s="718">
        <v>190864.01</v>
      </c>
      <c r="F16" s="151">
        <f>[1]Субсидия_факт!AZ18</f>
        <v>0</v>
      </c>
      <c r="G16" s="718"/>
      <c r="H16" s="151">
        <f>[1]Субсидия_факт!BB18</f>
        <v>5516691.2400000002</v>
      </c>
      <c r="I16" s="718">
        <v>5456316.1299999999</v>
      </c>
      <c r="J16" s="151">
        <f>[1]Субсидия_факт!BD18</f>
        <v>85528.87</v>
      </c>
      <c r="K16" s="718">
        <v>85528.87</v>
      </c>
      <c r="L16" s="151">
        <f>[1]Субсидия_факт!BF18</f>
        <v>0</v>
      </c>
      <c r="M16" s="718"/>
      <c r="N16" s="151">
        <f>[1]Субсидия_факт!ED18</f>
        <v>16232.16</v>
      </c>
      <c r="O16" s="884">
        <f t="shared" si="3"/>
        <v>16232.16</v>
      </c>
      <c r="P16" s="151">
        <f>[1]Субсидия_факт!EJ18</f>
        <v>599340.62</v>
      </c>
      <c r="Q16" s="718">
        <v>388600</v>
      </c>
      <c r="R16" s="979">
        <f>[1]Субсидия_факт!EP18</f>
        <v>0</v>
      </c>
      <c r="S16" s="980"/>
      <c r="T16" s="151">
        <f>[1]Субсидия_факт!EZ18</f>
        <v>0</v>
      </c>
      <c r="U16" s="718"/>
      <c r="V16" s="151">
        <f>[1]Субсидия_факт!FX18</f>
        <v>0</v>
      </c>
      <c r="W16" s="718"/>
      <c r="X16" s="151">
        <f>[1]Субсидия_факт!GH18</f>
        <v>0</v>
      </c>
      <c r="Y16" s="718"/>
      <c r="Z16" s="151">
        <f>[1]Субсидия_факт!GP18</f>
        <v>1380000</v>
      </c>
      <c r="AA16" s="718">
        <v>1380000</v>
      </c>
      <c r="AB16" s="151">
        <f>[1]Субсидия_факт!GV18</f>
        <v>0</v>
      </c>
      <c r="AC16" s="718"/>
      <c r="AD16" s="151">
        <f>[1]Субсидия_факт!GZ18</f>
        <v>1955850.48</v>
      </c>
      <c r="AE16" s="718">
        <v>430356.13</v>
      </c>
      <c r="AF16" s="151">
        <f>[1]Субсидия_факт!HN18</f>
        <v>0</v>
      </c>
      <c r="AG16" s="718"/>
      <c r="AH16" s="151">
        <f>[1]Субсидия_факт!IH18</f>
        <v>0</v>
      </c>
      <c r="AI16" s="718"/>
      <c r="AJ16" s="151">
        <f>[1]Субсидия_факт!IN18</f>
        <v>0</v>
      </c>
      <c r="AK16" s="718"/>
      <c r="AL16" s="151">
        <f>[1]Субсидия_факт!IT18</f>
        <v>0</v>
      </c>
      <c r="AM16" s="1509"/>
      <c r="AN16" s="151">
        <f>[1]Субсидия_факт!JH18</f>
        <v>158262.43</v>
      </c>
      <c r="AO16" s="1509">
        <v>63195.35</v>
      </c>
      <c r="AP16" s="414">
        <f>[1]Субсидия_факт!JN18</f>
        <v>0</v>
      </c>
      <c r="AQ16" s="718"/>
      <c r="AS16" s="1483"/>
    </row>
    <row r="17" spans="1:45" s="424" customFormat="1" ht="21" customHeight="1" x14ac:dyDescent="0.25">
      <c r="A17" s="428" t="s">
        <v>88</v>
      </c>
      <c r="B17" s="148">
        <f t="shared" si="0"/>
        <v>7811693.7000000002</v>
      </c>
      <c r="C17" s="148">
        <f t="shared" si="1"/>
        <v>5102311.5500000007</v>
      </c>
      <c r="D17" s="151">
        <f>[1]Субсидия_факт!Z19</f>
        <v>77303.789999999994</v>
      </c>
      <c r="E17" s="718">
        <v>43108.32</v>
      </c>
      <c r="F17" s="151">
        <f>[1]Субсидия_факт!AZ19</f>
        <v>0</v>
      </c>
      <c r="G17" s="718"/>
      <c r="H17" s="151">
        <f>[1]Субсидия_факт!BB19</f>
        <v>3917818.62</v>
      </c>
      <c r="I17" s="884">
        <f>H17</f>
        <v>3917818.62</v>
      </c>
      <c r="J17" s="151">
        <f>[1]Субсидия_факт!BD19</f>
        <v>46935.85</v>
      </c>
      <c r="K17" s="718">
        <v>46935.85</v>
      </c>
      <c r="L17" s="151">
        <f>[1]Субсидия_факт!BF19</f>
        <v>0</v>
      </c>
      <c r="M17" s="718"/>
      <c r="N17" s="151">
        <f>[1]Субсидия_факт!ED19</f>
        <v>5410.72</v>
      </c>
      <c r="O17" s="884">
        <f t="shared" si="3"/>
        <v>5410.72</v>
      </c>
      <c r="P17" s="151">
        <f>[1]Субсидия_факт!EJ19</f>
        <v>472622.89</v>
      </c>
      <c r="Q17" s="718">
        <v>363000</v>
      </c>
      <c r="R17" s="979">
        <f>[1]Субсидия_факт!EP19</f>
        <v>0</v>
      </c>
      <c r="S17" s="980"/>
      <c r="T17" s="151">
        <f>[1]Субсидия_факт!EZ19</f>
        <v>0</v>
      </c>
      <c r="U17" s="718"/>
      <c r="V17" s="151">
        <f>[1]Субсидия_факт!FX19</f>
        <v>71368.62</v>
      </c>
      <c r="W17" s="884">
        <f>V17</f>
        <v>71368.62</v>
      </c>
      <c r="X17" s="151">
        <f>[1]Субсидия_факт!GH19</f>
        <v>113000</v>
      </c>
      <c r="Y17" s="718">
        <v>74184.460000000006</v>
      </c>
      <c r="Z17" s="151">
        <f>[1]Субсидия_факт!GP19</f>
        <v>2622767.62</v>
      </c>
      <c r="AA17" s="718">
        <v>166211.48000000001</v>
      </c>
      <c r="AB17" s="151">
        <f>[1]Субсидия_факт!GV19</f>
        <v>0</v>
      </c>
      <c r="AC17" s="718"/>
      <c r="AD17" s="151">
        <f>[1]Субсидия_факт!GZ19</f>
        <v>235852.56</v>
      </c>
      <c r="AE17" s="718">
        <v>223065.65</v>
      </c>
      <c r="AF17" s="151">
        <f>[1]Субсидия_факт!HN19</f>
        <v>0</v>
      </c>
      <c r="AG17" s="718"/>
      <c r="AH17" s="151">
        <f>[1]Субсидия_факт!IH19</f>
        <v>0</v>
      </c>
      <c r="AI17" s="718"/>
      <c r="AJ17" s="151">
        <f>[1]Субсидия_факт!IN19</f>
        <v>0</v>
      </c>
      <c r="AK17" s="718"/>
      <c r="AL17" s="151">
        <f>[1]Субсидия_факт!IT19</f>
        <v>0</v>
      </c>
      <c r="AM17" s="1509"/>
      <c r="AN17" s="151">
        <f>[1]Субсидия_факт!JH19</f>
        <v>248613.03</v>
      </c>
      <c r="AO17" s="1509">
        <v>191207.83</v>
      </c>
      <c r="AP17" s="414">
        <f>[1]Субсидия_факт!JN19</f>
        <v>0</v>
      </c>
      <c r="AQ17" s="718"/>
      <c r="AS17" s="1483"/>
    </row>
    <row r="18" spans="1:45" s="424" customFormat="1" ht="21" customHeight="1" x14ac:dyDescent="0.25">
      <c r="A18" s="428" t="s">
        <v>89</v>
      </c>
      <c r="B18" s="148">
        <f t="shared" si="0"/>
        <v>5974415.04</v>
      </c>
      <c r="C18" s="148">
        <f t="shared" si="1"/>
        <v>1819834.8</v>
      </c>
      <c r="D18" s="151">
        <f>[1]Субсидия_факт!Z20</f>
        <v>198721.16</v>
      </c>
      <c r="E18" s="718">
        <v>140177.76</v>
      </c>
      <c r="F18" s="151">
        <f>[1]Субсидия_факт!AZ20</f>
        <v>0</v>
      </c>
      <c r="G18" s="718"/>
      <c r="H18" s="151">
        <f>[1]Субсидия_факт!BB20</f>
        <v>3607374.08</v>
      </c>
      <c r="I18" s="718">
        <v>0</v>
      </c>
      <c r="J18" s="151">
        <f>[1]Субсидия_факт!BD20</f>
        <v>90846.67</v>
      </c>
      <c r="K18" s="718">
        <v>23746.03</v>
      </c>
      <c r="L18" s="151">
        <f>[1]Субсидия_факт!BF20</f>
        <v>0</v>
      </c>
      <c r="M18" s="718">
        <v>0</v>
      </c>
      <c r="N18" s="151">
        <f>[1]Субсидия_факт!ED20</f>
        <v>35707.11</v>
      </c>
      <c r="O18" s="884">
        <f t="shared" si="3"/>
        <v>35707.11</v>
      </c>
      <c r="P18" s="151">
        <f>[1]Субсидия_факт!EJ20</f>
        <v>1198681.24</v>
      </c>
      <c r="Q18" s="718">
        <v>1194921.99</v>
      </c>
      <c r="R18" s="979">
        <f>[1]Субсидия_факт!EP20</f>
        <v>0</v>
      </c>
      <c r="S18" s="980"/>
      <c r="T18" s="151">
        <f>[1]Субсидия_факт!EZ20</f>
        <v>0</v>
      </c>
      <c r="U18" s="718"/>
      <c r="V18" s="151">
        <f>[1]Субсидия_факт!FX20</f>
        <v>111431.97</v>
      </c>
      <c r="W18" s="718">
        <v>0</v>
      </c>
      <c r="X18" s="151">
        <f>[1]Субсидия_факт!GH20</f>
        <v>0</v>
      </c>
      <c r="Y18" s="718"/>
      <c r="Z18" s="151">
        <f>[1]Субсидия_факт!GP20</f>
        <v>0</v>
      </c>
      <c r="AA18" s="718"/>
      <c r="AB18" s="151">
        <f>[1]Субсидия_факт!GV20</f>
        <v>0</v>
      </c>
      <c r="AC18" s="718"/>
      <c r="AD18" s="151">
        <f>[1]Субсидия_факт!GZ20</f>
        <v>316962.83</v>
      </c>
      <c r="AE18" s="718">
        <v>238049.61</v>
      </c>
      <c r="AF18" s="151">
        <f>[1]Субсидия_факт!HN20</f>
        <v>0</v>
      </c>
      <c r="AG18" s="718"/>
      <c r="AH18" s="151">
        <f>[1]Субсидия_факт!IH20</f>
        <v>0</v>
      </c>
      <c r="AI18" s="718"/>
      <c r="AJ18" s="151">
        <f>[1]Субсидия_факт!IN20</f>
        <v>0</v>
      </c>
      <c r="AK18" s="718"/>
      <c r="AL18" s="151">
        <f>[1]Субсидия_факт!IT20</f>
        <v>0</v>
      </c>
      <c r="AM18" s="1509"/>
      <c r="AN18" s="151">
        <f>[1]Субсидия_факт!JH20</f>
        <v>414689.98000000004</v>
      </c>
      <c r="AO18" s="1509">
        <v>187232.3</v>
      </c>
      <c r="AP18" s="414">
        <f>[1]Субсидия_факт!JN20</f>
        <v>0</v>
      </c>
      <c r="AQ18" s="718"/>
      <c r="AS18" s="1483"/>
    </row>
    <row r="19" spans="1:45" s="424" customFormat="1" ht="21" customHeight="1" x14ac:dyDescent="0.25">
      <c r="A19" s="428" t="s">
        <v>90</v>
      </c>
      <c r="B19" s="148">
        <f t="shared" si="0"/>
        <v>7912092.2799999993</v>
      </c>
      <c r="C19" s="148">
        <f t="shared" si="1"/>
        <v>1457072.8200000003</v>
      </c>
      <c r="D19" s="151">
        <f>[1]Субсидия_факт!Z21</f>
        <v>197460.77</v>
      </c>
      <c r="E19" s="718">
        <v>0</v>
      </c>
      <c r="F19" s="151">
        <f>[1]Субсидия_факт!AZ21</f>
        <v>0</v>
      </c>
      <c r="G19" s="718"/>
      <c r="H19" s="151">
        <f>[1]Субсидия_факт!BB21</f>
        <v>0</v>
      </c>
      <c r="I19" s="718">
        <v>0</v>
      </c>
      <c r="J19" s="151">
        <f>[1]Субсидия_факт!BD21</f>
        <v>43442.67</v>
      </c>
      <c r="K19" s="718">
        <v>27354</v>
      </c>
      <c r="L19" s="151">
        <f>[1]Субсидия_факт!BF21</f>
        <v>286094.40000000002</v>
      </c>
      <c r="M19" s="718">
        <v>240107.64</v>
      </c>
      <c r="N19" s="151">
        <f>[1]Субсидия_факт!ED21</f>
        <v>19839.310000000001</v>
      </c>
      <c r="O19" s="884">
        <f t="shared" si="3"/>
        <v>19839.310000000001</v>
      </c>
      <c r="P19" s="151">
        <f>[1]Субсидия_факт!EJ21</f>
        <v>491716.17</v>
      </c>
      <c r="Q19" s="718">
        <v>83000</v>
      </c>
      <c r="R19" s="979">
        <f>[1]Субсидия_факт!EP21</f>
        <v>504900</v>
      </c>
      <c r="S19" s="980"/>
      <c r="T19" s="151">
        <f>[1]Субсидия_факт!EZ21</f>
        <v>0</v>
      </c>
      <c r="U19" s="718"/>
      <c r="V19" s="151">
        <f>[1]Субсидия_факт!FX21</f>
        <v>80527.289999999994</v>
      </c>
      <c r="W19" s="884">
        <f>V19</f>
        <v>80527.289999999994</v>
      </c>
      <c r="X19" s="151">
        <f>[1]Субсидия_факт!GH21</f>
        <v>128583.27</v>
      </c>
      <c r="Y19" s="718"/>
      <c r="Z19" s="151">
        <f>[1]Субсидия_факт!GP21</f>
        <v>4834441.3899999997</v>
      </c>
      <c r="AA19" s="718">
        <v>592200</v>
      </c>
      <c r="AB19" s="151">
        <f>[1]Субсидия_факт!GV21</f>
        <v>0</v>
      </c>
      <c r="AC19" s="718"/>
      <c r="AD19" s="151">
        <f>[1]Субсидия_факт!GZ21</f>
        <v>1121737.77</v>
      </c>
      <c r="AE19" s="718">
        <v>272976.57</v>
      </c>
      <c r="AF19" s="151">
        <f>[1]Субсидия_факт!HN21</f>
        <v>0</v>
      </c>
      <c r="AG19" s="718"/>
      <c r="AH19" s="151">
        <f>[1]Субсидия_факт!IH21</f>
        <v>0</v>
      </c>
      <c r="AI19" s="718"/>
      <c r="AJ19" s="151">
        <f>[1]Субсидия_факт!IN21</f>
        <v>0</v>
      </c>
      <c r="AK19" s="718"/>
      <c r="AL19" s="151">
        <f>[1]Субсидия_факт!IT21</f>
        <v>0</v>
      </c>
      <c r="AM19" s="1509"/>
      <c r="AN19" s="151">
        <f>[1]Субсидия_факт!JH21</f>
        <v>203349.24</v>
      </c>
      <c r="AO19" s="1509">
        <v>141068.01</v>
      </c>
      <c r="AP19" s="414">
        <f>[1]Субсидия_факт!JN21</f>
        <v>0</v>
      </c>
      <c r="AQ19" s="718"/>
      <c r="AS19" s="1483"/>
    </row>
    <row r="20" spans="1:45" s="424" customFormat="1" ht="21" customHeight="1" x14ac:dyDescent="0.25">
      <c r="A20" s="428" t="s">
        <v>91</v>
      </c>
      <c r="B20" s="148">
        <f t="shared" si="0"/>
        <v>13870029.77</v>
      </c>
      <c r="C20" s="148">
        <f t="shared" si="1"/>
        <v>8315114.7399999993</v>
      </c>
      <c r="D20" s="151">
        <f>[1]Субсидия_факт!Z22</f>
        <v>189058.18</v>
      </c>
      <c r="E20" s="718">
        <v>49688.27</v>
      </c>
      <c r="F20" s="151">
        <f>[1]Субсидия_факт!AZ22</f>
        <v>0</v>
      </c>
      <c r="G20" s="718"/>
      <c r="H20" s="151">
        <f>[1]Субсидия_факт!BB22</f>
        <v>6863925.3099999996</v>
      </c>
      <c r="I20" s="884">
        <f t="shared" ref="I20:I24" si="4">H20</f>
        <v>6863925.3099999996</v>
      </c>
      <c r="J20" s="151">
        <f>[1]Субсидия_факт!BD22</f>
        <v>100473.92</v>
      </c>
      <c r="K20" s="718">
        <v>33496.18</v>
      </c>
      <c r="L20" s="151">
        <f>[1]Субсидия_факт!BF22</f>
        <v>1188910.1299999999</v>
      </c>
      <c r="M20" s="718">
        <v>893234.9</v>
      </c>
      <c r="N20" s="151">
        <f>[1]Субсидия_факт!ED22</f>
        <v>22500</v>
      </c>
      <c r="O20" s="884">
        <f t="shared" si="3"/>
        <v>22500</v>
      </c>
      <c r="P20" s="151">
        <f>[1]Субсидия_факт!EJ22</f>
        <v>0</v>
      </c>
      <c r="Q20" s="718"/>
      <c r="R20" s="979">
        <f>[1]Субсидия_факт!EP22</f>
        <v>0</v>
      </c>
      <c r="S20" s="980"/>
      <c r="T20" s="151">
        <f>[1]Субсидия_факт!EZ22</f>
        <v>0</v>
      </c>
      <c r="U20" s="718"/>
      <c r="V20" s="151">
        <f>[1]Субсидия_факт!FX22</f>
        <v>124852.8</v>
      </c>
      <c r="W20" s="718">
        <v>0</v>
      </c>
      <c r="X20" s="151">
        <f>[1]Субсидия_факт!GH22</f>
        <v>0</v>
      </c>
      <c r="Y20" s="718"/>
      <c r="Z20" s="151">
        <f>[1]Субсидия_факт!GP22</f>
        <v>4777002.5</v>
      </c>
      <c r="AA20" s="718">
        <v>0</v>
      </c>
      <c r="AB20" s="151">
        <f>[1]Субсидия_факт!GV22</f>
        <v>0</v>
      </c>
      <c r="AC20" s="718"/>
      <c r="AD20" s="151">
        <f>[1]Субсидия_факт!GZ22</f>
        <v>456864.88</v>
      </c>
      <c r="AE20" s="718">
        <v>370559.6</v>
      </c>
      <c r="AF20" s="151">
        <f>[1]Субсидия_факт!HN22</f>
        <v>0</v>
      </c>
      <c r="AG20" s="718"/>
      <c r="AH20" s="151">
        <f>[1]Субсидия_факт!IH22</f>
        <v>0</v>
      </c>
      <c r="AI20" s="718"/>
      <c r="AJ20" s="151">
        <f>[1]Субсидия_факт!IN22</f>
        <v>0</v>
      </c>
      <c r="AK20" s="884"/>
      <c r="AL20" s="151">
        <f>[1]Субсидия_факт!IT22</f>
        <v>0</v>
      </c>
      <c r="AM20" s="718"/>
      <c r="AN20" s="151">
        <f>[1]Субсидия_факт!JH22</f>
        <v>146442.04999999999</v>
      </c>
      <c r="AO20" s="718">
        <v>81710.48</v>
      </c>
      <c r="AP20" s="414">
        <f>[1]Субсидия_факт!JN22</f>
        <v>0</v>
      </c>
      <c r="AQ20" s="718"/>
      <c r="AS20" s="1483"/>
    </row>
    <row r="21" spans="1:45" s="424" customFormat="1" ht="21" customHeight="1" x14ac:dyDescent="0.25">
      <c r="A21" s="428" t="s">
        <v>92</v>
      </c>
      <c r="B21" s="148">
        <f t="shared" si="0"/>
        <v>7286223.1100000003</v>
      </c>
      <c r="C21" s="148">
        <f t="shared" si="1"/>
        <v>5780777</v>
      </c>
      <c r="D21" s="151">
        <f>[1]Субсидия_факт!Z23</f>
        <v>163346.26999999999</v>
      </c>
      <c r="E21" s="718">
        <v>141029.46</v>
      </c>
      <c r="F21" s="151">
        <f>[1]Субсидия_факт!AZ23</f>
        <v>0</v>
      </c>
      <c r="G21" s="718"/>
      <c r="H21" s="151">
        <f>[1]Субсидия_факт!BB23</f>
        <v>4703705.16</v>
      </c>
      <c r="I21" s="884">
        <f t="shared" si="4"/>
        <v>4703705.16</v>
      </c>
      <c r="J21" s="151">
        <f>[1]Субсидия_факт!BD23</f>
        <v>79946.990000000005</v>
      </c>
      <c r="K21" s="718">
        <v>50877</v>
      </c>
      <c r="L21" s="151">
        <f>[1]Субсидия_факт!BF23</f>
        <v>0</v>
      </c>
      <c r="M21" s="718">
        <v>0</v>
      </c>
      <c r="N21" s="151">
        <f>[1]Субсидия_факт!ED23</f>
        <v>10821.44</v>
      </c>
      <c r="O21" s="884">
        <f t="shared" si="3"/>
        <v>10821.44</v>
      </c>
      <c r="P21" s="151">
        <f>[1]Субсидия_факт!EJ23</f>
        <v>173341.29</v>
      </c>
      <c r="Q21" s="718">
        <v>0</v>
      </c>
      <c r="R21" s="979">
        <f>[1]Субсидия_факт!EP23</f>
        <v>0</v>
      </c>
      <c r="S21" s="980"/>
      <c r="T21" s="151">
        <f>[1]Субсидия_факт!EZ23</f>
        <v>0</v>
      </c>
      <c r="U21" s="718"/>
      <c r="V21" s="151">
        <f>[1]Субсидия_факт!FX23</f>
        <v>75795.89</v>
      </c>
      <c r="W21" s="884">
        <f>V21</f>
        <v>75795.89</v>
      </c>
      <c r="X21" s="151">
        <f>[1]Субсидия_факт!GH23</f>
        <v>0</v>
      </c>
      <c r="Y21" s="718"/>
      <c r="Z21" s="151">
        <f>[1]Субсидия_факт!GP23</f>
        <v>1429832.46</v>
      </c>
      <c r="AA21" s="718">
        <v>381854.31</v>
      </c>
      <c r="AB21" s="151">
        <f>[1]Субсидия_факт!GV23</f>
        <v>0</v>
      </c>
      <c r="AC21" s="718"/>
      <c r="AD21" s="151">
        <f>[1]Субсидия_факт!GZ23</f>
        <v>287855.17</v>
      </c>
      <c r="AE21" s="718">
        <v>219079.2</v>
      </c>
      <c r="AF21" s="151">
        <f>[1]Субсидия_факт!HN23</f>
        <v>0</v>
      </c>
      <c r="AG21" s="718"/>
      <c r="AH21" s="151">
        <f>[1]Субсидия_факт!IH23</f>
        <v>0</v>
      </c>
      <c r="AI21" s="718"/>
      <c r="AJ21" s="151">
        <f>[1]Субсидия_факт!IN23</f>
        <v>0</v>
      </c>
      <c r="AK21" s="718"/>
      <c r="AL21" s="151">
        <f>[1]Субсидия_факт!IT23</f>
        <v>0</v>
      </c>
      <c r="AM21" s="1509"/>
      <c r="AN21" s="151">
        <f>[1]Субсидия_факт!JH23</f>
        <v>361578.44</v>
      </c>
      <c r="AO21" s="1509">
        <v>197614.54</v>
      </c>
      <c r="AP21" s="414">
        <f>[1]Субсидия_факт!JN23</f>
        <v>0</v>
      </c>
      <c r="AQ21" s="718"/>
      <c r="AS21" s="1483"/>
    </row>
    <row r="22" spans="1:45" s="424" customFormat="1" ht="21" customHeight="1" x14ac:dyDescent="0.25">
      <c r="A22" s="428" t="s">
        <v>93</v>
      </c>
      <c r="B22" s="148">
        <f t="shared" si="0"/>
        <v>9661691.0999999996</v>
      </c>
      <c r="C22" s="148">
        <f t="shared" si="1"/>
        <v>4266256.9000000004</v>
      </c>
      <c r="D22" s="151">
        <f>[1]Субсидия_факт!Z24</f>
        <v>115955.69</v>
      </c>
      <c r="E22" s="718">
        <v>62275.41</v>
      </c>
      <c r="F22" s="151">
        <f>[1]Субсидия_факт!AZ24</f>
        <v>0</v>
      </c>
      <c r="G22" s="718"/>
      <c r="H22" s="151">
        <f>[1]Субсидия_факт!BB24</f>
        <v>2137170.06</v>
      </c>
      <c r="I22" s="884">
        <f t="shared" si="4"/>
        <v>2137170.06</v>
      </c>
      <c r="J22" s="151">
        <f>[1]Субсидия_факт!BD24</f>
        <v>55218.64</v>
      </c>
      <c r="K22" s="718">
        <v>55218.64</v>
      </c>
      <c r="L22" s="151">
        <f>[1]Субсидия_факт!BF24</f>
        <v>439420.11</v>
      </c>
      <c r="M22" s="718">
        <v>394634.33</v>
      </c>
      <c r="N22" s="151">
        <f>[1]Субсидия_факт!ED24</f>
        <v>12500</v>
      </c>
      <c r="O22" s="884">
        <f t="shared" si="3"/>
        <v>12500</v>
      </c>
      <c r="P22" s="151">
        <f>[1]Субсидия_факт!EJ24</f>
        <v>433237.65</v>
      </c>
      <c r="Q22" s="718">
        <v>371045.63</v>
      </c>
      <c r="R22" s="979">
        <f>[1]Субсидия_факт!EP24</f>
        <v>0</v>
      </c>
      <c r="S22" s="980"/>
      <c r="T22" s="151">
        <f>[1]Субсидия_факт!EZ24</f>
        <v>0</v>
      </c>
      <c r="U22" s="718"/>
      <c r="V22" s="151">
        <f>[1]Субсидия_факт!FX24</f>
        <v>86905.73</v>
      </c>
      <c r="W22" s="884">
        <f>V22</f>
        <v>86905.73</v>
      </c>
      <c r="X22" s="151">
        <f>[1]Субсидия_факт!GH24</f>
        <v>125008.27</v>
      </c>
      <c r="Y22" s="718">
        <v>110073.42</v>
      </c>
      <c r="Z22" s="151">
        <f>[1]Субсидия_факт!GP24</f>
        <v>4995600</v>
      </c>
      <c r="AA22" s="718">
        <v>425441.12</v>
      </c>
      <c r="AB22" s="151">
        <f>[1]Субсидия_факт!GV24</f>
        <v>0</v>
      </c>
      <c r="AC22" s="718"/>
      <c r="AD22" s="151">
        <f>[1]Субсидия_факт!GZ24</f>
        <v>977925.24</v>
      </c>
      <c r="AE22" s="718">
        <v>420041.86</v>
      </c>
      <c r="AF22" s="151">
        <f>[1]Субсидия_факт!HN24</f>
        <v>0</v>
      </c>
      <c r="AG22" s="718"/>
      <c r="AH22" s="151">
        <f>[1]Субсидия_факт!IH24</f>
        <v>0</v>
      </c>
      <c r="AI22" s="718"/>
      <c r="AJ22" s="151">
        <f>[1]Субсидия_факт!IN24</f>
        <v>0</v>
      </c>
      <c r="AK22" s="718"/>
      <c r="AL22" s="151">
        <f>[1]Субсидия_факт!IT24</f>
        <v>0</v>
      </c>
      <c r="AM22" s="1509"/>
      <c r="AN22" s="151">
        <f>[1]Субсидия_факт!JH24</f>
        <v>282749.71000000002</v>
      </c>
      <c r="AO22" s="1509">
        <v>190950.7</v>
      </c>
      <c r="AP22" s="414">
        <f>[1]Субсидия_факт!JN24</f>
        <v>0</v>
      </c>
      <c r="AQ22" s="718"/>
      <c r="AS22" s="1483"/>
    </row>
    <row r="23" spans="1:45" s="424" customFormat="1" ht="21" customHeight="1" x14ac:dyDescent="0.25">
      <c r="A23" s="428" t="s">
        <v>94</v>
      </c>
      <c r="B23" s="148">
        <f t="shared" si="0"/>
        <v>7192166.0300000003</v>
      </c>
      <c r="C23" s="148">
        <f t="shared" si="1"/>
        <v>6435737.9099999992</v>
      </c>
      <c r="D23" s="151">
        <f>[1]Субсидия_факт!Z25</f>
        <v>239473.7</v>
      </c>
      <c r="E23" s="718">
        <v>162638.84</v>
      </c>
      <c r="F23" s="151">
        <f>[1]Субсидия_факт!AZ25</f>
        <v>0</v>
      </c>
      <c r="G23" s="718"/>
      <c r="H23" s="151">
        <f>[1]Субсидия_факт!BB25</f>
        <v>4045573.58</v>
      </c>
      <c r="I23" s="884">
        <f t="shared" si="4"/>
        <v>4045573.58</v>
      </c>
      <c r="J23" s="151">
        <f>[1]Субсидия_факт!BD25</f>
        <v>96932.72</v>
      </c>
      <c r="K23" s="718">
        <v>82080</v>
      </c>
      <c r="L23" s="151">
        <f>[1]Субсидия_факт!BF25</f>
        <v>237465.47</v>
      </c>
      <c r="M23" s="718">
        <v>237465.47</v>
      </c>
      <c r="N23" s="151">
        <f>[1]Субсидия_факт!ED25</f>
        <v>30660.75</v>
      </c>
      <c r="O23" s="884">
        <f t="shared" si="3"/>
        <v>30660.75</v>
      </c>
      <c r="P23" s="151">
        <f>[1]Субсидия_факт!EJ25</f>
        <v>1609657.67</v>
      </c>
      <c r="Q23" s="718">
        <v>1296205.75</v>
      </c>
      <c r="R23" s="979">
        <f>[1]Субсидия_факт!EP25</f>
        <v>0</v>
      </c>
      <c r="S23" s="980"/>
      <c r="T23" s="151">
        <f>[1]Субсидия_факт!EZ25</f>
        <v>0</v>
      </c>
      <c r="U23" s="718"/>
      <c r="V23" s="151">
        <f>[1]Субсидия_факт!FX25</f>
        <v>110296.8</v>
      </c>
      <c r="W23" s="884">
        <f>V23</f>
        <v>110296.8</v>
      </c>
      <c r="X23" s="151">
        <f>[1]Субсидия_факт!GH25</f>
        <v>0</v>
      </c>
      <c r="Y23" s="718"/>
      <c r="Z23" s="151">
        <f>[1]Субсидия_факт!GP25</f>
        <v>0</v>
      </c>
      <c r="AA23" s="718"/>
      <c r="AB23" s="151">
        <f>[1]Субсидия_факт!GV25</f>
        <v>0</v>
      </c>
      <c r="AC23" s="718"/>
      <c r="AD23" s="151">
        <f>[1]Субсидия_факт!GZ25</f>
        <v>609765.15</v>
      </c>
      <c r="AE23" s="718">
        <v>381074</v>
      </c>
      <c r="AF23" s="151">
        <f>[1]Субсидия_факт!HN25</f>
        <v>0</v>
      </c>
      <c r="AG23" s="718"/>
      <c r="AH23" s="151">
        <f>[1]Субсидия_факт!IH25</f>
        <v>0</v>
      </c>
      <c r="AI23" s="718"/>
      <c r="AJ23" s="151">
        <f>[1]Субсидия_факт!IN25</f>
        <v>0</v>
      </c>
      <c r="AK23" s="718"/>
      <c r="AL23" s="151">
        <f>[1]Субсидия_факт!IT25</f>
        <v>0</v>
      </c>
      <c r="AM23" s="1509"/>
      <c r="AN23" s="151">
        <f>[1]Субсидия_факт!JH25</f>
        <v>212340.19</v>
      </c>
      <c r="AO23" s="1509">
        <v>89742.720000000001</v>
      </c>
      <c r="AP23" s="414">
        <f>[1]Субсидия_факт!JN25</f>
        <v>0</v>
      </c>
      <c r="AQ23" s="718"/>
      <c r="AS23" s="1483"/>
    </row>
    <row r="24" spans="1:45" s="424" customFormat="1" ht="21" customHeight="1" x14ac:dyDescent="0.25">
      <c r="A24" s="428" t="s">
        <v>95</v>
      </c>
      <c r="B24" s="148">
        <f t="shared" si="0"/>
        <v>6465689.7699999996</v>
      </c>
      <c r="C24" s="148">
        <f t="shared" si="1"/>
        <v>4244048.08</v>
      </c>
      <c r="D24" s="151">
        <f>[1]Субсидия_факт!Z26</f>
        <v>324970.01</v>
      </c>
      <c r="E24" s="718">
        <v>218912.64000000001</v>
      </c>
      <c r="F24" s="151">
        <f>[1]Субсидия_факт!AZ26</f>
        <v>0</v>
      </c>
      <c r="G24" s="718"/>
      <c r="H24" s="151">
        <f>[1]Субсидия_факт!BB26</f>
        <v>1937616.82</v>
      </c>
      <c r="I24" s="884">
        <f t="shared" si="4"/>
        <v>1937616.82</v>
      </c>
      <c r="J24" s="151">
        <f>[1]Субсидия_факт!BD26</f>
        <v>25124.48</v>
      </c>
      <c r="K24" s="718">
        <v>5460</v>
      </c>
      <c r="L24" s="151">
        <f>[1]Субсидия_факт!BF26</f>
        <v>1228321.3899999999</v>
      </c>
      <c r="M24" s="718">
        <v>835507</v>
      </c>
      <c r="N24" s="151">
        <f>[1]Субсидия_факт!ED26</f>
        <v>18035.73</v>
      </c>
      <c r="O24" s="884">
        <f t="shared" si="3"/>
        <v>18035.73</v>
      </c>
      <c r="P24" s="151">
        <f>[1]Субсидия_факт!EJ26</f>
        <v>598056.31999999995</v>
      </c>
      <c r="Q24" s="718">
        <v>565722.18999999994</v>
      </c>
      <c r="R24" s="979">
        <f>[1]Субсидия_факт!EP26</f>
        <v>0</v>
      </c>
      <c r="S24" s="980"/>
      <c r="T24" s="151">
        <f>[1]Субсидия_факт!EZ26</f>
        <v>0</v>
      </c>
      <c r="U24" s="718"/>
      <c r="V24" s="151">
        <f>[1]Субсидия_факт!FX26</f>
        <v>95371.19</v>
      </c>
      <c r="W24" s="718">
        <v>0</v>
      </c>
      <c r="X24" s="151">
        <f>[1]Субсидия_факт!GH26</f>
        <v>121363.27</v>
      </c>
      <c r="Y24" s="884">
        <f>X24</f>
        <v>121363.27</v>
      </c>
      <c r="Z24" s="151">
        <f>[1]Субсидия_факт!GP26</f>
        <v>1365000</v>
      </c>
      <c r="AA24" s="718">
        <v>0</v>
      </c>
      <c r="AB24" s="151">
        <f>[1]Субсидия_факт!GV26</f>
        <v>0</v>
      </c>
      <c r="AC24" s="718"/>
      <c r="AD24" s="151">
        <f>[1]Субсидия_факт!GZ26</f>
        <v>442942.61</v>
      </c>
      <c r="AE24" s="718">
        <v>368627.83</v>
      </c>
      <c r="AF24" s="151">
        <f>[1]Субсидия_факт!HN26</f>
        <v>0</v>
      </c>
      <c r="AG24" s="718"/>
      <c r="AH24" s="151">
        <f>[1]Субсидия_факт!IH26</f>
        <v>0</v>
      </c>
      <c r="AI24" s="718"/>
      <c r="AJ24" s="151">
        <f>[1]Субсидия_факт!IN26</f>
        <v>0</v>
      </c>
      <c r="AK24" s="884"/>
      <c r="AL24" s="151">
        <f>[1]Субсидия_факт!IT26</f>
        <v>0</v>
      </c>
      <c r="AM24" s="1509"/>
      <c r="AN24" s="151">
        <f>[1]Субсидия_факт!JH26</f>
        <v>308887.95</v>
      </c>
      <c r="AO24" s="1509">
        <v>172802.6</v>
      </c>
      <c r="AP24" s="414">
        <f>[1]Субсидия_факт!JN26</f>
        <v>0</v>
      </c>
      <c r="AQ24" s="718"/>
      <c r="AS24" s="1483"/>
    </row>
    <row r="25" spans="1:45" s="424" customFormat="1" ht="21" customHeight="1" x14ac:dyDescent="0.25">
      <c r="A25" s="429" t="s">
        <v>96</v>
      </c>
      <c r="B25" s="148">
        <f t="shared" si="0"/>
        <v>12975328.710000001</v>
      </c>
      <c r="C25" s="148">
        <f t="shared" si="1"/>
        <v>6822107.5099999988</v>
      </c>
      <c r="D25" s="151">
        <f>[1]Субсидия_факт!Z27</f>
        <v>390720.25</v>
      </c>
      <c r="E25" s="718">
        <v>211906.33</v>
      </c>
      <c r="F25" s="151">
        <f>[1]Субсидия_факт!AZ27</f>
        <v>0</v>
      </c>
      <c r="G25" s="718"/>
      <c r="H25" s="151">
        <f>[1]Субсидия_факт!BB27</f>
        <v>0</v>
      </c>
      <c r="I25" s="718">
        <v>0</v>
      </c>
      <c r="J25" s="151">
        <f>[1]Субсидия_факт!BD27</f>
        <v>92659.28</v>
      </c>
      <c r="K25" s="718">
        <v>92163</v>
      </c>
      <c r="L25" s="151">
        <f>[1]Субсидия_факт!BF27</f>
        <v>0</v>
      </c>
      <c r="M25" s="718"/>
      <c r="N25" s="151">
        <f>[1]Субсидия_факт!ED27</f>
        <v>27053.599999999999</v>
      </c>
      <c r="O25" s="884">
        <f t="shared" si="3"/>
        <v>27053.599999999999</v>
      </c>
      <c r="P25" s="151">
        <f>[1]Субсидия_факт!EJ27</f>
        <v>1592533.65</v>
      </c>
      <c r="Q25" s="718">
        <v>1579189.76</v>
      </c>
      <c r="R25" s="979">
        <f>[1]Субсидия_факт!EP27</f>
        <v>0</v>
      </c>
      <c r="S25" s="980"/>
      <c r="T25" s="151">
        <f>[1]Субсидия_факт!EZ27</f>
        <v>5453747.4400000004</v>
      </c>
      <c r="U25" s="718">
        <v>2552421.21</v>
      </c>
      <c r="V25" s="151">
        <f>[1]Субсидия_факт!FX27</f>
        <v>89129.82</v>
      </c>
      <c r="W25" s="884">
        <f>V25</f>
        <v>89129.82</v>
      </c>
      <c r="X25" s="151">
        <f>[1]Субсидия_факт!GH27</f>
        <v>0</v>
      </c>
      <c r="Y25" s="718"/>
      <c r="Z25" s="151">
        <f>[1]Субсидия_факт!GP27</f>
        <v>4741197.32</v>
      </c>
      <c r="AA25" s="718">
        <v>1945196.94</v>
      </c>
      <c r="AB25" s="151">
        <f>[1]Субсидия_факт!GV27</f>
        <v>0</v>
      </c>
      <c r="AC25" s="718"/>
      <c r="AD25" s="151">
        <f>[1]Субсидия_факт!GZ27</f>
        <v>322220.03999999998</v>
      </c>
      <c r="AE25" s="718">
        <v>256783.34</v>
      </c>
      <c r="AF25" s="151">
        <f>[1]Субсидия_факт!HN27</f>
        <v>0</v>
      </c>
      <c r="AG25" s="718"/>
      <c r="AH25" s="151">
        <f>[1]Субсидия_факт!IH27</f>
        <v>0</v>
      </c>
      <c r="AI25" s="718"/>
      <c r="AJ25" s="151">
        <f>[1]Субсидия_факт!IN27</f>
        <v>0</v>
      </c>
      <c r="AK25" s="718"/>
      <c r="AL25" s="151">
        <f>[1]Субсидия_факт!IT27</f>
        <v>0</v>
      </c>
      <c r="AM25" s="1509"/>
      <c r="AN25" s="151">
        <f>[1]Субсидия_факт!JH27</f>
        <v>266067.31</v>
      </c>
      <c r="AO25" s="1509">
        <v>68263.509999999995</v>
      </c>
      <c r="AP25" s="414">
        <f>[1]Субсидия_факт!JN27</f>
        <v>0</v>
      </c>
      <c r="AQ25" s="718"/>
      <c r="AS25" s="1483"/>
    </row>
    <row r="26" spans="1:45" s="424" customFormat="1" ht="21" customHeight="1" x14ac:dyDescent="0.25">
      <c r="A26" s="428" t="s">
        <v>104</v>
      </c>
      <c r="B26" s="150">
        <f t="shared" ref="B26:C26" si="5">SUM(B8:B25)</f>
        <v>377576307.08999991</v>
      </c>
      <c r="C26" s="150">
        <f t="shared" si="5"/>
        <v>221712814.07000005</v>
      </c>
      <c r="D26" s="150">
        <f t="shared" ref="D26:N26" si="6">SUM(D8:D25)</f>
        <v>4386942.2300000004</v>
      </c>
      <c r="E26" s="150">
        <f t="shared" si="6"/>
        <v>2202816.98</v>
      </c>
      <c r="F26" s="150">
        <f t="shared" ref="F26" si="7">SUM(F8:F25)</f>
        <v>305665</v>
      </c>
      <c r="G26" s="150">
        <f>SUM(G8:G25)</f>
        <v>305665</v>
      </c>
      <c r="H26" s="150">
        <f t="shared" si="6"/>
        <v>57942944.339999996</v>
      </c>
      <c r="I26" s="150">
        <f t="shared" ref="I26:M26" si="8">SUM(I8:I25)</f>
        <v>54070769.309999995</v>
      </c>
      <c r="J26" s="150">
        <f>SUM(J8:J25)</f>
        <v>1323674.8700000001</v>
      </c>
      <c r="K26" s="150">
        <f>SUM(K8:K25)</f>
        <v>925884.04</v>
      </c>
      <c r="L26" s="150">
        <f t="shared" si="8"/>
        <v>4776700.3099999996</v>
      </c>
      <c r="M26" s="150">
        <f t="shared" si="8"/>
        <v>3892786.41</v>
      </c>
      <c r="N26" s="150">
        <f t="shared" si="6"/>
        <v>326567.32999999996</v>
      </c>
      <c r="O26" s="150">
        <f t="shared" ref="O26:AO26" si="9">SUM(O8:O25)</f>
        <v>326567.32999999996</v>
      </c>
      <c r="P26" s="150">
        <f>SUM(P8:P25)</f>
        <v>14700000</v>
      </c>
      <c r="Q26" s="150">
        <f>SUM(Q8:Q25)</f>
        <v>11072786.169999998</v>
      </c>
      <c r="R26" s="981">
        <f t="shared" ref="R26:S26" si="10">SUM(R8:R25)</f>
        <v>4999700</v>
      </c>
      <c r="S26" s="981">
        <f t="shared" si="10"/>
        <v>0</v>
      </c>
      <c r="T26" s="150">
        <f t="shared" si="9"/>
        <v>25187877.440000001</v>
      </c>
      <c r="U26" s="150">
        <f t="shared" si="9"/>
        <v>16605956.830000002</v>
      </c>
      <c r="V26" s="275">
        <f t="shared" si="9"/>
        <v>1277621.5</v>
      </c>
      <c r="W26" s="150">
        <f t="shared" si="9"/>
        <v>945965.54</v>
      </c>
      <c r="X26" s="150">
        <f t="shared" ref="X26:Y26" si="11">SUM(X8:X25)</f>
        <v>941056.62</v>
      </c>
      <c r="Y26" s="150">
        <f t="shared" si="11"/>
        <v>690057.69000000006</v>
      </c>
      <c r="Z26" s="275">
        <f t="shared" si="9"/>
        <v>45515263.340000004</v>
      </c>
      <c r="AA26" s="150">
        <f t="shared" si="9"/>
        <v>14302503.639999999</v>
      </c>
      <c r="AB26" s="275">
        <f t="shared" ref="AB26:AC26" si="12">SUM(AB8:AB25)</f>
        <v>0</v>
      </c>
      <c r="AC26" s="150">
        <f t="shared" si="12"/>
        <v>0</v>
      </c>
      <c r="AD26" s="150">
        <f t="shared" si="9"/>
        <v>16000000</v>
      </c>
      <c r="AE26" s="150">
        <f t="shared" si="9"/>
        <v>7169462.2400000002</v>
      </c>
      <c r="AF26" s="150">
        <f t="shared" ref="AF26:AG26" si="13">SUM(AF8:AF25)</f>
        <v>180934697.87</v>
      </c>
      <c r="AG26" s="150">
        <f t="shared" si="13"/>
        <v>94682697.700000003</v>
      </c>
      <c r="AH26" s="150">
        <f t="shared" si="9"/>
        <v>14131037.450000001</v>
      </c>
      <c r="AI26" s="150">
        <f t="shared" si="9"/>
        <v>11842332.4</v>
      </c>
      <c r="AJ26" s="150">
        <f t="shared" ref="AJ26:AM26" si="14">SUM(AJ8:AJ25)</f>
        <v>0</v>
      </c>
      <c r="AK26" s="150">
        <f t="shared" si="14"/>
        <v>0</v>
      </c>
      <c r="AL26" s="150">
        <f t="shared" si="14"/>
        <v>0</v>
      </c>
      <c r="AM26" s="150">
        <f t="shared" si="14"/>
        <v>0</v>
      </c>
      <c r="AN26" s="150">
        <f t="shared" si="9"/>
        <v>4826558.7899999991</v>
      </c>
      <c r="AO26" s="150">
        <f t="shared" si="9"/>
        <v>2676562.7900000005</v>
      </c>
      <c r="AP26" s="275">
        <f>SUM(AP8:AP25)</f>
        <v>0</v>
      </c>
      <c r="AQ26" s="150">
        <f>SUM(AQ8:AQ25)</f>
        <v>0</v>
      </c>
      <c r="AS26" s="1483"/>
    </row>
    <row r="27" spans="1:45" s="424" customFormat="1" ht="21" customHeight="1" x14ac:dyDescent="0.25">
      <c r="A27" s="428"/>
      <c r="B27" s="149"/>
      <c r="C27" s="149"/>
      <c r="D27" s="149"/>
      <c r="E27" s="719"/>
      <c r="F27" s="149"/>
      <c r="G27" s="719"/>
      <c r="H27" s="719"/>
      <c r="I27" s="719"/>
      <c r="J27" s="719"/>
      <c r="K27" s="719"/>
      <c r="L27" s="719"/>
      <c r="M27" s="719"/>
      <c r="N27" s="149"/>
      <c r="O27" s="719"/>
      <c r="P27" s="719"/>
      <c r="Q27" s="719"/>
      <c r="R27" s="1268"/>
      <c r="S27" s="982"/>
      <c r="T27" s="149"/>
      <c r="U27" s="719"/>
      <c r="V27" s="275"/>
      <c r="W27" s="719"/>
      <c r="X27" s="150"/>
      <c r="Y27" s="719"/>
      <c r="Z27" s="275"/>
      <c r="AA27" s="719"/>
      <c r="AB27" s="275"/>
      <c r="AC27" s="719"/>
      <c r="AD27" s="149"/>
      <c r="AE27" s="719"/>
      <c r="AF27" s="149"/>
      <c r="AG27" s="719"/>
      <c r="AH27" s="149"/>
      <c r="AI27" s="719"/>
      <c r="AJ27" s="149"/>
      <c r="AK27" s="719"/>
      <c r="AL27" s="149"/>
      <c r="AM27" s="719"/>
      <c r="AN27" s="149"/>
      <c r="AO27" s="719"/>
      <c r="AP27" s="275"/>
      <c r="AQ27" s="719"/>
    </row>
    <row r="28" spans="1:45" s="424" customFormat="1" ht="21" customHeight="1" x14ac:dyDescent="0.25">
      <c r="A28" s="428" t="s">
        <v>5</v>
      </c>
      <c r="B28" s="148">
        <f t="shared" ref="B28:B29" si="15">D28+H28+J28+N28+T28+AD28+AH28+AN28+V28+Z28+P28+L28+AB28+X28+AF28+AP28+F28+R28+AJ28+AL28</f>
        <v>222310414.17000002</v>
      </c>
      <c r="C28" s="148">
        <f t="shared" ref="C28:C29" si="16">E28+I28+K28+O28+U28+AE28+AI28+AO28+W28+AA28+Q28+M28+AC28+Y28+AG28+AQ28+G28+S28+AK28+AM28</f>
        <v>180317831.34</v>
      </c>
      <c r="D28" s="151">
        <f>[1]Субсидия_факт!Z30</f>
        <v>434959.86</v>
      </c>
      <c r="E28" s="719">
        <v>215036.96</v>
      </c>
      <c r="F28" s="151">
        <f>[1]Субсидия_факт!AZ30</f>
        <v>0</v>
      </c>
      <c r="G28" s="718"/>
      <c r="H28" s="151">
        <f>[1]Субсидия_факт!BB30</f>
        <v>0</v>
      </c>
      <c r="I28" s="718"/>
      <c r="J28" s="151">
        <f>[1]Субсидия_факт!BD30</f>
        <v>190072.17</v>
      </c>
      <c r="K28" s="718">
        <v>143115</v>
      </c>
      <c r="L28" s="151">
        <f>[1]Субсидия_факт!BF30</f>
        <v>874222.88</v>
      </c>
      <c r="M28" s="718">
        <v>874222.88</v>
      </c>
      <c r="N28" s="151">
        <f>[1]Субсидия_факт!ED30</f>
        <v>91053.119999999995</v>
      </c>
      <c r="O28" s="884">
        <f>N28</f>
        <v>91053.119999999995</v>
      </c>
      <c r="P28" s="151">
        <f>[1]Субсидия_факт!EJ30</f>
        <v>0</v>
      </c>
      <c r="Q28" s="718"/>
      <c r="R28" s="979">
        <f>[1]Субсидия_факт!EP30</f>
        <v>0</v>
      </c>
      <c r="S28" s="1269"/>
      <c r="T28" s="151">
        <f>[1]Субсидия_факт!EZ30</f>
        <v>33105937.48</v>
      </c>
      <c r="U28" s="884">
        <f>T28</f>
        <v>33105937.48</v>
      </c>
      <c r="V28" s="151">
        <f>[1]Субсидия_факт!FX30</f>
        <v>98546.14</v>
      </c>
      <c r="W28" s="884">
        <f>V28</f>
        <v>98546.14</v>
      </c>
      <c r="X28" s="151">
        <f>[1]Субсидия_факт!GH30</f>
        <v>260585.11</v>
      </c>
      <c r="Y28" s="718"/>
      <c r="Z28" s="151">
        <f>[1]Субсидия_факт!GP30</f>
        <v>31799736.180000003</v>
      </c>
      <c r="AA28" s="718">
        <v>31799736.18</v>
      </c>
      <c r="AB28" s="151">
        <f>[1]Субсидия_факт!GV30</f>
        <v>0</v>
      </c>
      <c r="AC28" s="718"/>
      <c r="AD28" s="151">
        <f>[1]Субсидия_факт!GZ30</f>
        <v>0</v>
      </c>
      <c r="AE28" s="884"/>
      <c r="AF28" s="151">
        <f>[1]Субсидия_факт!HN30</f>
        <v>150263377.62</v>
      </c>
      <c r="AG28" s="718">
        <v>113594019.8</v>
      </c>
      <c r="AH28" s="151">
        <f>[1]Субсидия_факт!IH30</f>
        <v>0</v>
      </c>
      <c r="AI28" s="718"/>
      <c r="AJ28" s="151">
        <f>[1]Субсидия_факт!IN30</f>
        <v>0</v>
      </c>
      <c r="AK28" s="718"/>
      <c r="AL28" s="151">
        <f>[1]Субсидия_факт!IT30</f>
        <v>0</v>
      </c>
      <c r="AM28" s="1509"/>
      <c r="AN28" s="151">
        <f>[1]Субсидия_факт!JH30</f>
        <v>691923.61</v>
      </c>
      <c r="AO28" s="1509">
        <v>396163.78</v>
      </c>
      <c r="AP28" s="414">
        <f>[1]Субсидия_факт!JN30</f>
        <v>4500000</v>
      </c>
      <c r="AQ28" s="718"/>
    </row>
    <row r="29" spans="1:45" s="424" customFormat="1" ht="21" customHeight="1" x14ac:dyDescent="0.25">
      <c r="A29" s="428" t="s">
        <v>6</v>
      </c>
      <c r="B29" s="148">
        <f t="shared" si="15"/>
        <v>127128134.16999999</v>
      </c>
      <c r="C29" s="148">
        <f t="shared" si="16"/>
        <v>21169571.68</v>
      </c>
      <c r="D29" s="151">
        <f>[1]Субсидия_факт!Z31</f>
        <v>578097.91</v>
      </c>
      <c r="E29" s="150">
        <v>331518.57</v>
      </c>
      <c r="F29" s="151">
        <f>[1]Субсидия_факт!AZ31</f>
        <v>1794335</v>
      </c>
      <c r="G29" s="884">
        <f t="shared" ref="G29" si="17">F29</f>
        <v>1794335</v>
      </c>
      <c r="H29" s="151">
        <f>[1]Субсидия_факт!BB31</f>
        <v>0</v>
      </c>
      <c r="I29" s="718"/>
      <c r="J29" s="151">
        <f>[1]Субсидия_факт!BD31</f>
        <v>986252.96</v>
      </c>
      <c r="K29" s="718">
        <v>827004</v>
      </c>
      <c r="L29" s="151">
        <f>[1]Субсидия_факт!BF31</f>
        <v>6349076.8099999996</v>
      </c>
      <c r="M29" s="718">
        <v>2214880</v>
      </c>
      <c r="N29" s="151">
        <f>[1]Субсидия_факт!ED31</f>
        <v>146672.4</v>
      </c>
      <c r="O29" s="884">
        <f>N29</f>
        <v>146672.4</v>
      </c>
      <c r="P29" s="151">
        <f>[1]Субсидия_факт!EJ31</f>
        <v>0</v>
      </c>
      <c r="Q29" s="718"/>
      <c r="R29" s="979">
        <f>[1]Субсидия_факт!EP31</f>
        <v>0</v>
      </c>
      <c r="S29" s="980"/>
      <c r="T29" s="151">
        <f>[1]Субсидия_факт!EZ31</f>
        <v>0</v>
      </c>
      <c r="U29" s="718"/>
      <c r="V29" s="151">
        <f>[1]Субсидия_факт!FX31</f>
        <v>623832.36</v>
      </c>
      <c r="W29" s="884">
        <f>V29</f>
        <v>623832.36</v>
      </c>
      <c r="X29" s="151">
        <f>[1]Субсидия_факт!GH31</f>
        <v>0</v>
      </c>
      <c r="Y29" s="718"/>
      <c r="Z29" s="151">
        <f>[1]Субсидия_факт!GP31</f>
        <v>82874610.169999987</v>
      </c>
      <c r="AA29" s="718">
        <v>1386271.32</v>
      </c>
      <c r="AB29" s="151">
        <f>[1]Субсидия_факт!GV31</f>
        <v>14000000</v>
      </c>
      <c r="AC29" s="718"/>
      <c r="AD29" s="151">
        <f>[1]Субсидия_факт!GZ31</f>
        <v>0</v>
      </c>
      <c r="AE29" s="884"/>
      <c r="AF29" s="151">
        <f>[1]Субсидия_факт!HN31</f>
        <v>0</v>
      </c>
      <c r="AG29" s="718"/>
      <c r="AH29" s="151">
        <f>[1]Субсидия_факт!IH31</f>
        <v>785300</v>
      </c>
      <c r="AI29" s="718">
        <v>305348.45</v>
      </c>
      <c r="AJ29" s="151">
        <f>[1]Субсидия_факт!IN31</f>
        <v>0</v>
      </c>
      <c r="AK29" s="718"/>
      <c r="AL29" s="151">
        <f>[1]Субсидия_факт!IT31</f>
        <v>0</v>
      </c>
      <c r="AM29" s="718"/>
      <c r="AN29" s="151">
        <f>[1]Субсидия_факт!JH31</f>
        <v>1402256.56</v>
      </c>
      <c r="AO29" s="718">
        <v>334732.46000000002</v>
      </c>
      <c r="AP29" s="414">
        <f>[1]Субсидия_факт!JN31</f>
        <v>17587700</v>
      </c>
      <c r="AQ29" s="718">
        <v>13204977.119999999</v>
      </c>
    </row>
    <row r="30" spans="1:45" s="424" customFormat="1" ht="21" customHeight="1" x14ac:dyDescent="0.25">
      <c r="A30" s="428" t="s">
        <v>7</v>
      </c>
      <c r="B30" s="154">
        <f t="shared" ref="B30:N30" si="18">SUM(B28:B29)</f>
        <v>349438548.34000003</v>
      </c>
      <c r="C30" s="154">
        <f t="shared" si="18"/>
        <v>201487403.02000001</v>
      </c>
      <c r="D30" s="154">
        <f t="shared" si="18"/>
        <v>1013057.77</v>
      </c>
      <c r="E30" s="154">
        <f>SUM(E28:E29)</f>
        <v>546555.53</v>
      </c>
      <c r="F30" s="154">
        <f t="shared" ref="F30" si="19">SUM(F28:F29)</f>
        <v>1794335</v>
      </c>
      <c r="G30" s="154">
        <f>SUM(G28:G29)</f>
        <v>1794335</v>
      </c>
      <c r="H30" s="154">
        <f t="shared" si="18"/>
        <v>0</v>
      </c>
      <c r="I30" s="154">
        <f t="shared" ref="I30:M30" si="20">SUM(I28:I29)</f>
        <v>0</v>
      </c>
      <c r="J30" s="154">
        <f>SUM(J28:J29)</f>
        <v>1176325.1299999999</v>
      </c>
      <c r="K30" s="154">
        <f>SUM(K28:K29)</f>
        <v>970119</v>
      </c>
      <c r="L30" s="154">
        <f t="shared" si="20"/>
        <v>7223299.6899999995</v>
      </c>
      <c r="M30" s="154">
        <f t="shared" si="20"/>
        <v>3089102.88</v>
      </c>
      <c r="N30" s="154">
        <f t="shared" si="18"/>
        <v>237725.52</v>
      </c>
      <c r="O30" s="154">
        <f t="shared" ref="O30:AO30" si="21">SUM(O28:O29)</f>
        <v>237725.52</v>
      </c>
      <c r="P30" s="154">
        <f>SUM(P28:P29)</f>
        <v>0</v>
      </c>
      <c r="Q30" s="154">
        <f>SUM(Q28:Q29)</f>
        <v>0</v>
      </c>
      <c r="R30" s="983">
        <f t="shared" ref="R30:S30" si="22">SUM(R28:R29)</f>
        <v>0</v>
      </c>
      <c r="S30" s="983">
        <f t="shared" si="22"/>
        <v>0</v>
      </c>
      <c r="T30" s="154">
        <f t="shared" si="21"/>
        <v>33105937.48</v>
      </c>
      <c r="U30" s="154">
        <f t="shared" si="21"/>
        <v>33105937.48</v>
      </c>
      <c r="V30" s="155">
        <f t="shared" si="21"/>
        <v>722378.5</v>
      </c>
      <c r="W30" s="154">
        <f t="shared" si="21"/>
        <v>722378.5</v>
      </c>
      <c r="X30" s="155">
        <f t="shared" ref="X30:Y30" si="23">SUM(X28:X29)</f>
        <v>260585.11</v>
      </c>
      <c r="Y30" s="154">
        <f t="shared" si="23"/>
        <v>0</v>
      </c>
      <c r="Z30" s="155">
        <f t="shared" si="21"/>
        <v>114674346.34999999</v>
      </c>
      <c r="AA30" s="154">
        <f t="shared" si="21"/>
        <v>33186007.5</v>
      </c>
      <c r="AB30" s="155">
        <f t="shared" ref="AB30:AC30" si="24">SUM(AB28:AB29)</f>
        <v>14000000</v>
      </c>
      <c r="AC30" s="154">
        <f t="shared" si="24"/>
        <v>0</v>
      </c>
      <c r="AD30" s="154">
        <f t="shared" si="21"/>
        <v>0</v>
      </c>
      <c r="AE30" s="154">
        <f t="shared" si="21"/>
        <v>0</v>
      </c>
      <c r="AF30" s="154">
        <f t="shared" ref="AF30:AG30" si="25">SUM(AF28:AF29)</f>
        <v>150263377.62</v>
      </c>
      <c r="AG30" s="154">
        <f t="shared" si="25"/>
        <v>113594019.8</v>
      </c>
      <c r="AH30" s="154">
        <f t="shared" si="21"/>
        <v>785300</v>
      </c>
      <c r="AI30" s="154">
        <f t="shared" si="21"/>
        <v>305348.45</v>
      </c>
      <c r="AJ30" s="154">
        <f t="shared" si="21"/>
        <v>0</v>
      </c>
      <c r="AK30" s="154">
        <f t="shared" si="21"/>
        <v>0</v>
      </c>
      <c r="AL30" s="155">
        <f t="shared" ref="AL30:AM30" si="26">SUM(AL28:AL29)</f>
        <v>0</v>
      </c>
      <c r="AM30" s="155">
        <f t="shared" si="26"/>
        <v>0</v>
      </c>
      <c r="AN30" s="155">
        <f t="shared" si="21"/>
        <v>2094180.17</v>
      </c>
      <c r="AO30" s="155">
        <f t="shared" si="21"/>
        <v>730896.24</v>
      </c>
      <c r="AP30" s="155">
        <f>SUM(AP28:AP29)</f>
        <v>22087700</v>
      </c>
      <c r="AQ30" s="154">
        <f>SUM(AQ28:AQ29)</f>
        <v>13204977.119999999</v>
      </c>
    </row>
    <row r="31" spans="1:45" s="424" customFormat="1" ht="21" customHeight="1" x14ac:dyDescent="0.25">
      <c r="A31" s="428"/>
      <c r="B31" s="156"/>
      <c r="C31" s="156"/>
      <c r="D31" s="150"/>
      <c r="E31" s="150"/>
      <c r="F31" s="150"/>
      <c r="G31" s="150"/>
      <c r="H31" s="150"/>
      <c r="I31" s="150"/>
      <c r="J31" s="150"/>
      <c r="K31" s="150"/>
      <c r="L31" s="150"/>
      <c r="M31" s="150"/>
      <c r="N31" s="720"/>
      <c r="O31" s="150"/>
      <c r="P31" s="150"/>
      <c r="Q31" s="150"/>
      <c r="R31" s="984"/>
      <c r="S31" s="981"/>
      <c r="T31" s="720"/>
      <c r="U31" s="150"/>
      <c r="V31" s="150"/>
      <c r="W31" s="150"/>
      <c r="X31" s="150"/>
      <c r="Y31" s="150"/>
      <c r="Z31" s="150"/>
      <c r="AA31" s="150"/>
      <c r="AB31" s="150"/>
      <c r="AC31" s="150"/>
      <c r="AD31" s="720"/>
      <c r="AE31" s="150"/>
      <c r="AF31" s="150"/>
      <c r="AG31" s="150"/>
      <c r="AH31" s="150"/>
      <c r="AI31" s="150"/>
      <c r="AJ31" s="150"/>
      <c r="AK31" s="150"/>
      <c r="AL31" s="150"/>
      <c r="AM31" s="150"/>
      <c r="AN31" s="150"/>
      <c r="AO31" s="150"/>
      <c r="AP31" s="150"/>
      <c r="AQ31" s="150"/>
    </row>
    <row r="32" spans="1:45" s="424" customFormat="1" ht="21" customHeight="1" x14ac:dyDescent="0.25">
      <c r="A32" s="428"/>
      <c r="B32" s="156"/>
      <c r="C32" s="156"/>
      <c r="D32" s="150"/>
      <c r="E32" s="150"/>
      <c r="F32" s="150"/>
      <c r="G32" s="150"/>
      <c r="H32" s="150"/>
      <c r="I32" s="150"/>
      <c r="J32" s="150"/>
      <c r="K32" s="150"/>
      <c r="L32" s="150"/>
      <c r="M32" s="150"/>
      <c r="N32" s="720"/>
      <c r="O32" s="150"/>
      <c r="P32" s="150"/>
      <c r="Q32" s="150"/>
      <c r="R32" s="984"/>
      <c r="S32" s="981"/>
      <c r="T32" s="720"/>
      <c r="U32" s="150"/>
      <c r="V32" s="150"/>
      <c r="W32" s="150"/>
      <c r="X32" s="150"/>
      <c r="Y32" s="150"/>
      <c r="Z32" s="150"/>
      <c r="AA32" s="150"/>
      <c r="AB32" s="150"/>
      <c r="AC32" s="150"/>
      <c r="AD32" s="720"/>
      <c r="AE32" s="150"/>
      <c r="AF32" s="150"/>
      <c r="AG32" s="150"/>
      <c r="AH32" s="150"/>
      <c r="AI32" s="150"/>
      <c r="AJ32" s="150"/>
      <c r="AK32" s="150"/>
      <c r="AL32" s="150"/>
      <c r="AM32" s="150"/>
      <c r="AN32" s="150"/>
      <c r="AO32" s="150"/>
      <c r="AP32" s="150"/>
      <c r="AQ32" s="150"/>
    </row>
    <row r="33" spans="1:43" s="431" customFormat="1" ht="21" customHeight="1" x14ac:dyDescent="0.25">
      <c r="A33" s="430" t="s">
        <v>36</v>
      </c>
      <c r="B33" s="154">
        <f t="shared" ref="B33:AE33" si="27">B26+B30</f>
        <v>727014855.42999995</v>
      </c>
      <c r="C33" s="154">
        <f t="shared" si="27"/>
        <v>423200217.09000003</v>
      </c>
      <c r="D33" s="154">
        <f t="shared" si="27"/>
        <v>5400000</v>
      </c>
      <c r="E33" s="154">
        <f t="shared" si="27"/>
        <v>2749372.51</v>
      </c>
      <c r="F33" s="154">
        <f t="shared" ref="F33:G33" si="28">F26+F30</f>
        <v>2100000</v>
      </c>
      <c r="G33" s="154">
        <f t="shared" si="28"/>
        <v>2100000</v>
      </c>
      <c r="H33" s="154">
        <f t="shared" si="27"/>
        <v>57942944.339999996</v>
      </c>
      <c r="I33" s="154">
        <f t="shared" si="27"/>
        <v>54070769.309999995</v>
      </c>
      <c r="J33" s="154">
        <f>J26+J30</f>
        <v>2500000</v>
      </c>
      <c r="K33" s="154">
        <f>K26+K30</f>
        <v>1896003.04</v>
      </c>
      <c r="L33" s="154">
        <f t="shared" si="27"/>
        <v>12000000</v>
      </c>
      <c r="M33" s="154">
        <f t="shared" si="27"/>
        <v>6981889.29</v>
      </c>
      <c r="N33" s="154">
        <f t="shared" si="27"/>
        <v>564292.85</v>
      </c>
      <c r="O33" s="154">
        <f t="shared" si="27"/>
        <v>564292.85</v>
      </c>
      <c r="P33" s="154">
        <f t="shared" si="27"/>
        <v>14700000</v>
      </c>
      <c r="Q33" s="154">
        <f t="shared" si="27"/>
        <v>11072786.169999998</v>
      </c>
      <c r="R33" s="983">
        <f t="shared" si="27"/>
        <v>4999700</v>
      </c>
      <c r="S33" s="983">
        <f t="shared" si="27"/>
        <v>0</v>
      </c>
      <c r="T33" s="154">
        <f t="shared" si="27"/>
        <v>58293814.920000002</v>
      </c>
      <c r="U33" s="154">
        <f t="shared" si="27"/>
        <v>49711894.310000002</v>
      </c>
      <c r="V33" s="155">
        <f t="shared" si="27"/>
        <v>2000000</v>
      </c>
      <c r="W33" s="154">
        <f t="shared" si="27"/>
        <v>1668344.04</v>
      </c>
      <c r="X33" s="155">
        <f t="shared" ref="X33:Y33" si="29">X26+X30</f>
        <v>1201641.73</v>
      </c>
      <c r="Y33" s="154">
        <f t="shared" si="29"/>
        <v>690057.69000000006</v>
      </c>
      <c r="Z33" s="155">
        <f t="shared" si="27"/>
        <v>160189609.69</v>
      </c>
      <c r="AA33" s="154">
        <f t="shared" si="27"/>
        <v>47488511.140000001</v>
      </c>
      <c r="AB33" s="155">
        <f t="shared" ref="AB33:AC33" si="30">AB26+AB30</f>
        <v>14000000</v>
      </c>
      <c r="AC33" s="154">
        <f t="shared" si="30"/>
        <v>0</v>
      </c>
      <c r="AD33" s="154">
        <f t="shared" si="27"/>
        <v>16000000</v>
      </c>
      <c r="AE33" s="154">
        <f t="shared" si="27"/>
        <v>7169462.2400000002</v>
      </c>
      <c r="AF33" s="154">
        <f t="shared" ref="AF33:AG33" si="31">AF26+AF30</f>
        <v>331198075.49000001</v>
      </c>
      <c r="AG33" s="154">
        <f t="shared" si="31"/>
        <v>208276717.5</v>
      </c>
      <c r="AH33" s="154">
        <f t="shared" ref="AH33:AO33" si="32">AH26+AH30</f>
        <v>14916337.450000001</v>
      </c>
      <c r="AI33" s="154">
        <f t="shared" si="32"/>
        <v>12147680.85</v>
      </c>
      <c r="AJ33" s="154">
        <f t="shared" si="32"/>
        <v>0</v>
      </c>
      <c r="AK33" s="154">
        <f t="shared" si="32"/>
        <v>0</v>
      </c>
      <c r="AL33" s="155">
        <f t="shared" ref="AL33:AM33" si="33">AL26+AL30</f>
        <v>0</v>
      </c>
      <c r="AM33" s="155">
        <f t="shared" si="33"/>
        <v>0</v>
      </c>
      <c r="AN33" s="155">
        <f t="shared" si="32"/>
        <v>6920738.959999999</v>
      </c>
      <c r="AO33" s="155">
        <f t="shared" si="32"/>
        <v>3407459.0300000003</v>
      </c>
      <c r="AP33" s="155">
        <f>AP26+AP30</f>
        <v>22087700</v>
      </c>
      <c r="AQ33" s="154">
        <f>AQ26+AQ30</f>
        <v>13204977.119999999</v>
      </c>
    </row>
    <row r="34" spans="1:43" s="432" customFormat="1" ht="15.75" x14ac:dyDescent="0.25">
      <c r="B34" s="418"/>
      <c r="C34" s="418"/>
      <c r="D34" s="418"/>
      <c r="E34" s="418"/>
      <c r="F34" s="418"/>
      <c r="G34" s="418"/>
      <c r="H34" s="418"/>
      <c r="I34" s="418"/>
      <c r="J34" s="418"/>
      <c r="K34" s="418"/>
      <c r="L34" s="418"/>
      <c r="M34" s="418"/>
      <c r="N34" s="721"/>
      <c r="O34" s="721"/>
      <c r="P34" s="418"/>
      <c r="Q34" s="418"/>
      <c r="R34" s="1270"/>
      <c r="S34" s="1270"/>
      <c r="T34" s="721"/>
      <c r="U34" s="721"/>
      <c r="V34" s="418"/>
      <c r="W34" s="418"/>
      <c r="X34" s="418"/>
      <c r="Y34" s="418"/>
      <c r="Z34" s="418"/>
      <c r="AA34" s="418"/>
      <c r="AB34" s="418"/>
      <c r="AC34" s="418"/>
      <c r="AD34" s="721"/>
      <c r="AE34" s="721"/>
      <c r="AF34" s="418"/>
      <c r="AG34" s="418"/>
      <c r="AH34" s="418"/>
      <c r="AI34" s="418"/>
      <c r="AJ34" s="418"/>
      <c r="AK34" s="418"/>
      <c r="AL34" s="418"/>
      <c r="AM34" s="418"/>
      <c r="AN34" s="418"/>
      <c r="AO34" s="418"/>
      <c r="AP34" s="418"/>
      <c r="AQ34" s="418"/>
    </row>
    <row r="35" spans="1:43" s="424" customFormat="1" ht="15.75" x14ac:dyDescent="0.25">
      <c r="B35" s="419"/>
      <c r="C35" s="419"/>
      <c r="D35" s="419"/>
      <c r="E35" s="419"/>
      <c r="F35" s="419"/>
      <c r="G35" s="419"/>
      <c r="H35" s="419"/>
      <c r="I35" s="419"/>
      <c r="J35" s="419"/>
      <c r="K35" s="419"/>
      <c r="L35" s="419"/>
      <c r="M35" s="419"/>
      <c r="N35" s="722"/>
      <c r="O35" s="722"/>
      <c r="P35" s="419"/>
      <c r="Q35" s="419"/>
      <c r="R35" s="1271"/>
      <c r="S35" s="1271"/>
      <c r="T35" s="722"/>
      <c r="U35" s="722"/>
      <c r="V35" s="419"/>
      <c r="W35" s="419"/>
      <c r="X35" s="419"/>
      <c r="Y35" s="419"/>
      <c r="Z35" s="419"/>
      <c r="AA35" s="419"/>
      <c r="AB35" s="419"/>
      <c r="AC35" s="419"/>
      <c r="AD35" s="722"/>
      <c r="AE35" s="722"/>
      <c r="AF35" s="419"/>
      <c r="AG35" s="419"/>
      <c r="AH35" s="419"/>
      <c r="AI35" s="419"/>
      <c r="AJ35" s="419"/>
      <c r="AK35" s="419"/>
      <c r="AL35" s="419"/>
      <c r="AM35" s="419"/>
      <c r="AN35" s="419"/>
      <c r="AO35" s="419"/>
      <c r="AP35" s="419"/>
      <c r="AQ35" s="419"/>
    </row>
    <row r="36" spans="1:43" s="424" customFormat="1" ht="47.25" x14ac:dyDescent="0.25">
      <c r="A36" s="433" t="s">
        <v>54</v>
      </c>
      <c r="B36" s="148">
        <f t="shared" ref="B36" si="34">D36+H36+J36+N36+T36+AD36+AH36+AN36+V36+Z36+P36+L36+AB36+X36+AF36+AP36+F36+R36+AJ36+AL36</f>
        <v>131835964.41</v>
      </c>
      <c r="C36" s="148">
        <f t="shared" ref="C36" si="35">E36+I36+K36+O36+U36+AE36+AI36+AO36+W36+AA36+Q36+M36+AC36+Y36+AG36+AQ36+G36+S36+AK36+AM36</f>
        <v>45119862.960000001</v>
      </c>
      <c r="D36" s="420"/>
      <c r="E36" s="420"/>
      <c r="F36" s="420"/>
      <c r="G36" s="420"/>
      <c r="H36" s="420"/>
      <c r="I36" s="420"/>
      <c r="J36" s="420"/>
      <c r="K36" s="420"/>
      <c r="L36" s="420"/>
      <c r="M36" s="420"/>
      <c r="N36" s="420">
        <f>'Прочая  субсидия_БП'!H26</f>
        <v>35707.15</v>
      </c>
      <c r="O36" s="420">
        <f>'Прочая  субсидия_БП'!I26</f>
        <v>35707.15</v>
      </c>
      <c r="P36" s="420"/>
      <c r="Q36" s="420"/>
      <c r="R36" s="1272">
        <f>'Прочая  субсидия_БП'!N26</f>
        <v>0</v>
      </c>
      <c r="S36" s="1272">
        <f>'Прочая  субсидия_БП'!O26</f>
        <v>0</v>
      </c>
      <c r="T36" s="420">
        <f>'Прочая  субсидия_БП'!T26</f>
        <v>18325925</v>
      </c>
      <c r="U36" s="420">
        <f>'Прочая  субсидия_БП'!U26</f>
        <v>0</v>
      </c>
      <c r="V36" s="420"/>
      <c r="W36" s="420"/>
      <c r="X36" s="420">
        <f>'Прочая  субсидия_БП'!Z26</f>
        <v>98358.27</v>
      </c>
      <c r="Y36" s="420">
        <f>'Прочая  субсидия_БП'!AA26</f>
        <v>98358.27</v>
      </c>
      <c r="Z36" s="420">
        <f>'Прочая  субсидия_БП'!AF26</f>
        <v>74432712.950000003</v>
      </c>
      <c r="AA36" s="420">
        <f>'Прочая  субсидия_БП'!AG26</f>
        <v>39382368.159999996</v>
      </c>
      <c r="AB36" s="420"/>
      <c r="AC36" s="420"/>
      <c r="AD36" s="420"/>
      <c r="AE36" s="420"/>
      <c r="AF36" s="420"/>
      <c r="AG36" s="420"/>
      <c r="AH36" s="420">
        <f>'Прочая  субсидия_БП'!AL26</f>
        <v>0</v>
      </c>
      <c r="AI36" s="420">
        <f>'Прочая  субсидия_БП'!AM26</f>
        <v>0</v>
      </c>
      <c r="AJ36" s="420">
        <f>'Прочая  субсидия_БП'!AR26</f>
        <v>0</v>
      </c>
      <c r="AK36" s="420">
        <f>'Прочая  субсидия_БП'!AS26</f>
        <v>0</v>
      </c>
      <c r="AL36" s="420"/>
      <c r="AM36" s="420"/>
      <c r="AN36" s="420">
        <f>'Прочая  субсидия_БП'!AX26</f>
        <v>8443261.040000001</v>
      </c>
      <c r="AO36" s="420">
        <f>'Прочая  субсидия_БП'!AY26</f>
        <v>5603429.379999999</v>
      </c>
      <c r="AP36" s="420">
        <f>'Прочая  субсидия_БП'!BD26</f>
        <v>30500000</v>
      </c>
      <c r="AQ36" s="420">
        <f>'Прочая  субсидия_БП'!BE26</f>
        <v>0</v>
      </c>
    </row>
    <row r="37" spans="1:43" s="424" customFormat="1" ht="15.75" x14ac:dyDescent="0.25">
      <c r="A37" s="433"/>
      <c r="B37" s="421"/>
      <c r="C37" s="421"/>
      <c r="D37" s="421"/>
      <c r="E37" s="421"/>
      <c r="F37" s="421"/>
      <c r="G37" s="421"/>
      <c r="H37" s="421"/>
      <c r="I37" s="421"/>
      <c r="J37" s="421"/>
      <c r="K37" s="421"/>
      <c r="L37" s="421"/>
      <c r="M37" s="421"/>
      <c r="N37" s="421"/>
      <c r="O37" s="421"/>
      <c r="P37" s="421"/>
      <c r="Q37" s="421"/>
      <c r="R37" s="1273"/>
      <c r="S37" s="1273"/>
      <c r="T37" s="421"/>
      <c r="U37" s="421"/>
      <c r="V37" s="421"/>
      <c r="W37" s="421"/>
      <c r="X37" s="421"/>
      <c r="Y37" s="421"/>
      <c r="Z37" s="421"/>
      <c r="AA37" s="421"/>
      <c r="AB37" s="421"/>
      <c r="AC37" s="421"/>
      <c r="AD37" s="421"/>
      <c r="AE37" s="421"/>
      <c r="AF37" s="421"/>
      <c r="AG37" s="421"/>
      <c r="AH37" s="421"/>
      <c r="AI37" s="421"/>
      <c r="AJ37" s="421"/>
      <c r="AK37" s="421"/>
      <c r="AL37" s="421"/>
      <c r="AM37" s="421"/>
      <c r="AN37" s="421"/>
      <c r="AO37" s="421"/>
      <c r="AP37" s="421"/>
      <c r="AQ37" s="421"/>
    </row>
    <row r="38" spans="1:43" s="432" customFormat="1" ht="47.25" x14ac:dyDescent="0.25">
      <c r="A38" s="434" t="s">
        <v>55</v>
      </c>
      <c r="B38" s="155">
        <f t="shared" ref="B38:O38" si="36">B33+B36</f>
        <v>858850819.83999991</v>
      </c>
      <c r="C38" s="155">
        <f t="shared" si="36"/>
        <v>468320080.05000001</v>
      </c>
      <c r="D38" s="155">
        <f t="shared" si="36"/>
        <v>5400000</v>
      </c>
      <c r="E38" s="155">
        <f t="shared" si="36"/>
        <v>2749372.51</v>
      </c>
      <c r="F38" s="155">
        <f t="shared" ref="F38:G38" si="37">F33+F36</f>
        <v>2100000</v>
      </c>
      <c r="G38" s="155">
        <f t="shared" si="37"/>
        <v>2100000</v>
      </c>
      <c r="H38" s="155">
        <f t="shared" si="36"/>
        <v>57942944.339999996</v>
      </c>
      <c r="I38" s="155">
        <f t="shared" si="36"/>
        <v>54070769.309999995</v>
      </c>
      <c r="J38" s="155">
        <f>J33+J36</f>
        <v>2500000</v>
      </c>
      <c r="K38" s="155">
        <f>K33+K36</f>
        <v>1896003.04</v>
      </c>
      <c r="L38" s="155">
        <f t="shared" ref="L38:M38" si="38">L33+L36</f>
        <v>12000000</v>
      </c>
      <c r="M38" s="155">
        <f t="shared" si="38"/>
        <v>6981889.29</v>
      </c>
      <c r="N38" s="155">
        <f t="shared" si="36"/>
        <v>600000</v>
      </c>
      <c r="O38" s="155">
        <f t="shared" si="36"/>
        <v>600000</v>
      </c>
      <c r="P38" s="155">
        <f>P33+P36</f>
        <v>14700000</v>
      </c>
      <c r="Q38" s="155">
        <f>Q33+Q36</f>
        <v>11072786.169999998</v>
      </c>
      <c r="R38" s="1274">
        <f t="shared" ref="R38:S38" si="39">R33+R36</f>
        <v>4999700</v>
      </c>
      <c r="S38" s="1274">
        <f t="shared" si="39"/>
        <v>0</v>
      </c>
      <c r="T38" s="155">
        <f t="shared" ref="T38:AE38" si="40">T33+T36</f>
        <v>76619739.920000002</v>
      </c>
      <c r="U38" s="155">
        <f t="shared" si="40"/>
        <v>49711894.310000002</v>
      </c>
      <c r="V38" s="155">
        <f t="shared" ref="V38:AA38" si="41">V33+V36</f>
        <v>2000000</v>
      </c>
      <c r="W38" s="155">
        <f t="shared" si="41"/>
        <v>1668344.04</v>
      </c>
      <c r="X38" s="155">
        <f t="shared" ref="X38:Y38" si="42">X33+X36</f>
        <v>1300000</v>
      </c>
      <c r="Y38" s="155">
        <f t="shared" si="42"/>
        <v>788415.96000000008</v>
      </c>
      <c r="Z38" s="155">
        <f t="shared" si="41"/>
        <v>234622322.63999999</v>
      </c>
      <c r="AA38" s="155">
        <f t="shared" si="41"/>
        <v>86870879.299999997</v>
      </c>
      <c r="AB38" s="155">
        <f t="shared" ref="AB38:AC38" si="43">AB33+AB36</f>
        <v>14000000</v>
      </c>
      <c r="AC38" s="155">
        <f t="shared" si="43"/>
        <v>0</v>
      </c>
      <c r="AD38" s="155">
        <f t="shared" si="40"/>
        <v>16000000</v>
      </c>
      <c r="AE38" s="155">
        <f t="shared" si="40"/>
        <v>7169462.2400000002</v>
      </c>
      <c r="AF38" s="155">
        <f t="shared" ref="AF38:AG38" si="44">AF33+AF36</f>
        <v>331198075.49000001</v>
      </c>
      <c r="AG38" s="155">
        <f t="shared" si="44"/>
        <v>208276717.5</v>
      </c>
      <c r="AH38" s="155">
        <f t="shared" ref="AH38:AO38" si="45">AH33+AH36</f>
        <v>14916337.450000001</v>
      </c>
      <c r="AI38" s="155">
        <f t="shared" si="45"/>
        <v>12147680.85</v>
      </c>
      <c r="AJ38" s="155">
        <f t="shared" si="45"/>
        <v>0</v>
      </c>
      <c r="AK38" s="155">
        <f t="shared" si="45"/>
        <v>0</v>
      </c>
      <c r="AL38" s="155">
        <f t="shared" ref="AL38:AM38" si="46">AL33+AL36</f>
        <v>0</v>
      </c>
      <c r="AM38" s="155">
        <f t="shared" si="46"/>
        <v>0</v>
      </c>
      <c r="AN38" s="155">
        <f t="shared" si="45"/>
        <v>15364000</v>
      </c>
      <c r="AO38" s="155">
        <f t="shared" si="45"/>
        <v>9010888.4100000001</v>
      </c>
      <c r="AP38" s="155">
        <f>AP33+AP36</f>
        <v>52587700</v>
      </c>
      <c r="AQ38" s="155">
        <f>AQ33+AQ36</f>
        <v>13204977.119999999</v>
      </c>
    </row>
    <row r="39" spans="1:43" s="424" customFormat="1" ht="18" x14ac:dyDescent="0.25">
      <c r="A39" s="435"/>
      <c r="B39" s="422"/>
      <c r="C39" s="422"/>
      <c r="D39" s="422"/>
      <c r="E39" s="1641">
        <v>2749372.51</v>
      </c>
      <c r="F39" s="422"/>
      <c r="G39" s="1641">
        <v>2100000</v>
      </c>
      <c r="H39" s="436"/>
      <c r="I39" s="1641">
        <v>54070769.310000002</v>
      </c>
      <c r="J39" s="436"/>
      <c r="K39" s="1641">
        <v>1896003.04</v>
      </c>
      <c r="L39" s="436"/>
      <c r="M39" s="1641">
        <v>6981889.29</v>
      </c>
      <c r="N39" s="422"/>
      <c r="O39" s="1467">
        <v>600000</v>
      </c>
      <c r="P39" s="436"/>
      <c r="Q39" s="1641">
        <v>11072786.17</v>
      </c>
      <c r="R39" s="422"/>
      <c r="S39" s="1467">
        <v>0</v>
      </c>
      <c r="T39" s="422"/>
      <c r="U39" s="422"/>
      <c r="V39" s="422"/>
      <c r="W39" s="1641">
        <v>1668344.04</v>
      </c>
      <c r="X39" s="422"/>
      <c r="Y39" s="1641">
        <v>788415.96</v>
      </c>
      <c r="Z39" s="422"/>
      <c r="AA39" s="1641">
        <v>86870879.299999997</v>
      </c>
      <c r="AB39" s="422"/>
      <c r="AC39" s="1467">
        <v>0</v>
      </c>
      <c r="AD39" s="422"/>
      <c r="AE39" s="1641">
        <v>7169462.2400000002</v>
      </c>
      <c r="AF39" s="422"/>
      <c r="AG39" s="1641">
        <v>208276717.5</v>
      </c>
      <c r="AH39" s="422"/>
      <c r="AI39" s="1641">
        <v>12147680.85</v>
      </c>
      <c r="AJ39" s="422"/>
      <c r="AK39" s="1275"/>
      <c r="AL39" s="422"/>
      <c r="AM39" s="1467"/>
      <c r="AN39" s="422"/>
      <c r="AO39" s="1641">
        <v>9010888.4100000001</v>
      </c>
      <c r="AP39" s="422"/>
      <c r="AQ39" s="1641">
        <v>13204977.119999999</v>
      </c>
    </row>
    <row r="40" spans="1:43" s="425" customFormat="1" ht="15.75" x14ac:dyDescent="0.25">
      <c r="E40" s="436">
        <f>E39-E38</f>
        <v>0</v>
      </c>
      <c r="G40" s="436">
        <f>G39-G38</f>
        <v>0</v>
      </c>
      <c r="H40" s="436"/>
      <c r="I40" s="436">
        <f>I39-I38</f>
        <v>0</v>
      </c>
      <c r="J40" s="436"/>
      <c r="K40" s="436">
        <f>K39-K38</f>
        <v>0</v>
      </c>
      <c r="L40" s="436"/>
      <c r="M40" s="436">
        <f>M39-M38</f>
        <v>0</v>
      </c>
      <c r="O40" s="436">
        <f>O39-O38</f>
        <v>0</v>
      </c>
      <c r="P40" s="436"/>
      <c r="Q40" s="436">
        <f>Q39-Q38</f>
        <v>0</v>
      </c>
      <c r="S40" s="436">
        <f>S39-S38</f>
        <v>0</v>
      </c>
      <c r="W40" s="436">
        <f>W39-W38</f>
        <v>0</v>
      </c>
      <c r="Y40" s="436">
        <f>Y39-Y38</f>
        <v>0</v>
      </c>
      <c r="AA40" s="436">
        <f>AA39-AA38</f>
        <v>0</v>
      </c>
      <c r="AC40" s="436">
        <f>AC39-AC38</f>
        <v>0</v>
      </c>
      <c r="AE40" s="436">
        <f>AE39-AE38</f>
        <v>0</v>
      </c>
      <c r="AG40" s="436">
        <f>AG39-AG38</f>
        <v>0</v>
      </c>
      <c r="AI40" s="436">
        <f>AI39-AI38</f>
        <v>0</v>
      </c>
      <c r="AK40" s="436">
        <f>AK39-AK38</f>
        <v>0</v>
      </c>
      <c r="AL40" s="436"/>
      <c r="AM40" s="436"/>
      <c r="AO40" s="436">
        <f>AO39-AO38</f>
        <v>0</v>
      </c>
      <c r="AQ40" s="436">
        <f>AQ39-AQ38</f>
        <v>0</v>
      </c>
    </row>
    <row r="41" spans="1:43" s="425" customFormat="1" ht="15.75" x14ac:dyDescent="0.25">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8"/>
      <c r="AO41" s="418"/>
    </row>
    <row r="42" spans="1:43" s="424" customFormat="1" ht="15.75" x14ac:dyDescent="0.25">
      <c r="A42" s="428" t="s">
        <v>128</v>
      </c>
      <c r="B42" s="148">
        <f>SUM(B43:B45)</f>
        <v>389141019.83000004</v>
      </c>
      <c r="C42" s="148">
        <f>SUM(C43:C45)</f>
        <v>262347486.81</v>
      </c>
      <c r="J42" s="423"/>
      <c r="K42" s="423"/>
      <c r="L42" s="423"/>
      <c r="M42" s="423"/>
      <c r="P42" s="423"/>
      <c r="Q42" s="423"/>
      <c r="R42" s="423"/>
      <c r="S42" s="423"/>
    </row>
    <row r="43" spans="1:43" s="424" customFormat="1" ht="15.75" x14ac:dyDescent="0.25">
      <c r="A43" s="437" t="s">
        <v>133</v>
      </c>
      <c r="B43" s="148">
        <f t="shared" ref="B43:B44" si="47">D43+H43+J43+N43+T43+AD43+AH43+AN43+V43+Z43+P43+L43+AB43+X43+AF43+AP43+F43+R43+AJ43+AL43</f>
        <v>238877642.21000001</v>
      </c>
      <c r="C43" s="148">
        <f t="shared" ref="C43:C44" si="48">E43+I43+K43+O43+U43+AE43+AI43+AO43+W43+AA43+Q43+M43+AC43+Y43+AG43+AQ43+G43+S43+AK43+AM43</f>
        <v>148753467.00999999</v>
      </c>
      <c r="H43" s="423">
        <f>H26</f>
        <v>57942944.339999996</v>
      </c>
      <c r="I43" s="423">
        <f>I26</f>
        <v>54070769.309999995</v>
      </c>
      <c r="J43" s="423"/>
      <c r="K43" s="423"/>
      <c r="L43" s="423"/>
      <c r="M43" s="423"/>
      <c r="P43" s="423"/>
      <c r="Q43" s="423"/>
      <c r="R43" s="423"/>
      <c r="S43" s="423"/>
      <c r="T43" s="423"/>
      <c r="U43" s="423"/>
      <c r="AF43" s="423">
        <f t="shared" ref="AF43:AG43" si="49">AF26</f>
        <v>180934697.87</v>
      </c>
      <c r="AG43" s="423">
        <f t="shared" si="49"/>
        <v>94682697.700000003</v>
      </c>
    </row>
    <row r="44" spans="1:43" s="424" customFormat="1" ht="15.75" x14ac:dyDescent="0.25">
      <c r="A44" s="437" t="s">
        <v>134</v>
      </c>
      <c r="B44" s="148">
        <f t="shared" si="47"/>
        <v>150263377.62</v>
      </c>
      <c r="C44" s="148">
        <f t="shared" si="48"/>
        <v>113594019.8</v>
      </c>
      <c r="H44" s="423">
        <f>H30</f>
        <v>0</v>
      </c>
      <c r="I44" s="423">
        <f>I30</f>
        <v>0</v>
      </c>
      <c r="J44" s="423"/>
      <c r="K44" s="423"/>
      <c r="L44" s="423"/>
      <c r="M44" s="423"/>
      <c r="P44" s="423"/>
      <c r="Q44" s="423"/>
      <c r="R44" s="423"/>
      <c r="S44" s="423"/>
      <c r="T44" s="423"/>
      <c r="U44" s="423"/>
      <c r="AF44" s="423">
        <f t="shared" ref="AF44:AG44" si="50">AF30</f>
        <v>150263377.62</v>
      </c>
      <c r="AG44" s="423">
        <f t="shared" si="50"/>
        <v>113594019.8</v>
      </c>
    </row>
    <row r="45" spans="1:43" s="424" customFormat="1" ht="15.75" x14ac:dyDescent="0.25">
      <c r="A45" s="437" t="s">
        <v>135</v>
      </c>
      <c r="B45" s="148">
        <f>'Прочая  субсидия_БП'!B29</f>
        <v>0</v>
      </c>
      <c r="C45" s="148">
        <f>'Прочая  субсидия_БП'!C29</f>
        <v>0</v>
      </c>
      <c r="J45" s="423"/>
      <c r="K45" s="423"/>
      <c r="L45" s="423"/>
      <c r="M45" s="423"/>
      <c r="P45" s="423"/>
      <c r="Q45" s="423"/>
      <c r="R45" s="423"/>
      <c r="S45" s="423"/>
    </row>
    <row r="47" spans="1:43" x14ac:dyDescent="0.2">
      <c r="T47" s="425"/>
      <c r="U47" s="425"/>
    </row>
  </sheetData>
  <mergeCells count="42">
    <mergeCell ref="P6:Q6"/>
    <mergeCell ref="P5:Q5"/>
    <mergeCell ref="AB6:AC6"/>
    <mergeCell ref="X5:Y5"/>
    <mergeCell ref="X6:Y6"/>
    <mergeCell ref="Z6:AA6"/>
    <mergeCell ref="Z5:AA5"/>
    <mergeCell ref="V6:W6"/>
    <mergeCell ref="AB5:AC5"/>
    <mergeCell ref="R5:S5"/>
    <mergeCell ref="R6:S6"/>
    <mergeCell ref="T5:U5"/>
    <mergeCell ref="V5:W5"/>
    <mergeCell ref="T6:U6"/>
    <mergeCell ref="AP5:AQ5"/>
    <mergeCell ref="AP6:AQ6"/>
    <mergeCell ref="AN5:AO5"/>
    <mergeCell ref="AN6:AO6"/>
    <mergeCell ref="AH5:AI5"/>
    <mergeCell ref="AH6:AI6"/>
    <mergeCell ref="AL5:AM5"/>
    <mergeCell ref="AL6:AM6"/>
    <mergeCell ref="AD5:AE5"/>
    <mergeCell ref="AJ5:AK5"/>
    <mergeCell ref="AJ6:AK6"/>
    <mergeCell ref="AF5:AG5"/>
    <mergeCell ref="AF6:AG6"/>
    <mergeCell ref="AD6:AE6"/>
    <mergeCell ref="A5:A7"/>
    <mergeCell ref="N6:O6"/>
    <mergeCell ref="H6:I6"/>
    <mergeCell ref="H5:I5"/>
    <mergeCell ref="D5:E5"/>
    <mergeCell ref="N5:O5"/>
    <mergeCell ref="J5:K5"/>
    <mergeCell ref="D6:E6"/>
    <mergeCell ref="J6:K6"/>
    <mergeCell ref="B5:C6"/>
    <mergeCell ref="F5:G5"/>
    <mergeCell ref="F6:G6"/>
    <mergeCell ref="L5:M5"/>
    <mergeCell ref="L6:M6"/>
  </mergeCells>
  <phoneticPr fontId="0" type="noConversion"/>
  <pageMargins left="0.78740157480314965" right="0.39370078740157483" top="0.78740157480314965" bottom="0.59055118110236227" header="0.51181102362204722" footer="0.51181102362204722"/>
  <pageSetup paperSize="9" scale="43" fitToWidth="20" orientation="landscape" r:id="rId1"/>
  <headerFooter alignWithMargins="0">
    <oddFooter>&amp;L&amp;P&amp;R&amp;Z&amp;F&amp;A</oddFooter>
  </headerFooter>
  <colBreaks count="3" manualBreakCount="3">
    <brk id="13" max="37" man="1"/>
    <brk id="25" max="37" man="1"/>
    <brk id="37"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2"/>
  <dimension ref="A2:BI45"/>
  <sheetViews>
    <sheetView topLeftCell="A2" zoomScale="70" zoomScaleNormal="70" workbookViewId="0">
      <pane xSplit="1" ySplit="6" topLeftCell="B20" activePane="bottomRight" state="frozen"/>
      <selection activeCell="A2" sqref="A2"/>
      <selection pane="topRight" activeCell="B2" sqref="B2"/>
      <selection pane="bottomLeft" activeCell="A8" sqref="A8"/>
      <selection pane="bottomRight" activeCell="BB22" sqref="BB22"/>
    </sheetView>
  </sheetViews>
  <sheetFormatPr defaultRowHeight="15" x14ac:dyDescent="0.2"/>
  <cols>
    <col min="1" max="1" width="22.140625" customWidth="1"/>
    <col min="2" max="2" width="21.5703125" customWidth="1"/>
    <col min="3" max="3" width="23.140625" customWidth="1"/>
    <col min="4" max="4" width="22.85546875" customWidth="1"/>
    <col min="5" max="5" width="22" customWidth="1"/>
    <col min="6" max="6" width="20.85546875" customWidth="1"/>
    <col min="7" max="7" width="19.85546875" customWidth="1"/>
    <col min="8" max="9" width="20.140625" customWidth="1"/>
    <col min="10" max="13" width="17.85546875" customWidth="1"/>
    <col min="14" max="15" width="24.42578125" customWidth="1"/>
    <col min="16" max="19" width="17.85546875" customWidth="1"/>
    <col min="20" max="21" width="21.140625" customWidth="1"/>
    <col min="22" max="22" width="20.5703125" customWidth="1"/>
    <col min="23" max="23" width="21.140625" customWidth="1"/>
    <col min="24" max="25" width="17.5703125" customWidth="1"/>
    <col min="26" max="31" width="18.42578125" customWidth="1"/>
    <col min="32" max="32" width="21.85546875" customWidth="1"/>
    <col min="33" max="33" width="20" customWidth="1"/>
    <col min="34" max="34" width="22.5703125" customWidth="1"/>
    <col min="35" max="36" width="20.5703125" customWidth="1"/>
    <col min="37" max="37" width="20.140625" customWidth="1"/>
    <col min="38" max="39" width="27.140625" style="417" customWidth="1"/>
    <col min="40" max="49" width="21.42578125" style="417" customWidth="1"/>
    <col min="50" max="50" width="20.85546875" customWidth="1"/>
    <col min="51" max="51" width="19" customWidth="1"/>
    <col min="52" max="52" width="20.42578125" customWidth="1"/>
    <col min="53" max="53" width="18.85546875" customWidth="1"/>
    <col min="54" max="55" width="17.5703125" customWidth="1"/>
    <col min="56" max="57" width="20.42578125" customWidth="1"/>
    <col min="58" max="61" width="23.140625" customWidth="1"/>
  </cols>
  <sheetData>
    <row r="2" spans="1:61" ht="18" x14ac:dyDescent="0.25">
      <c r="D2" s="262" t="s">
        <v>23</v>
      </c>
      <c r="G2" s="942" t="str">
        <f>'Район  и  поселения'!E3</f>
        <v>ПО  СОСТОЯНИЮ  НА  1  ОКТЯБРЯ  2021  ГОДА</v>
      </c>
      <c r="T2" s="142"/>
      <c r="U2" s="142"/>
      <c r="V2" s="142"/>
      <c r="W2" s="142"/>
      <c r="X2" s="142"/>
      <c r="Y2" s="142"/>
    </row>
    <row r="3" spans="1:61" ht="15.75" x14ac:dyDescent="0.25">
      <c r="B3" s="142"/>
      <c r="C3" s="142"/>
      <c r="D3" s="142"/>
      <c r="E3" s="142"/>
      <c r="F3" s="142"/>
      <c r="G3" s="142"/>
      <c r="T3" s="142"/>
      <c r="U3" s="142"/>
      <c r="V3" s="142"/>
      <c r="W3" s="142"/>
      <c r="X3" s="142"/>
      <c r="Y3" s="142"/>
    </row>
    <row r="4" spans="1:61" ht="15.75" x14ac:dyDescent="0.25">
      <c r="G4" s="5" t="s">
        <v>0</v>
      </c>
    </row>
    <row r="5" spans="1:61" s="143" customFormat="1" ht="258" customHeight="1" x14ac:dyDescent="0.2">
      <c r="A5" s="1781" t="s">
        <v>12</v>
      </c>
      <c r="B5" s="1782" t="s">
        <v>1</v>
      </c>
      <c r="C5" s="1783"/>
      <c r="D5" s="1786" t="s">
        <v>118</v>
      </c>
      <c r="E5" s="1787"/>
      <c r="F5" s="1790" t="s">
        <v>117</v>
      </c>
      <c r="G5" s="1790"/>
      <c r="H5" s="1792" t="s">
        <v>395</v>
      </c>
      <c r="I5" s="1792"/>
      <c r="J5" s="1786" t="s">
        <v>118</v>
      </c>
      <c r="K5" s="1791"/>
      <c r="L5" s="1786" t="s">
        <v>117</v>
      </c>
      <c r="M5" s="1791"/>
      <c r="N5" s="1802" t="s">
        <v>727</v>
      </c>
      <c r="O5" s="1803"/>
      <c r="P5" s="1786" t="s">
        <v>118</v>
      </c>
      <c r="Q5" s="1791"/>
      <c r="R5" s="1786" t="s">
        <v>117</v>
      </c>
      <c r="S5" s="1791"/>
      <c r="T5" s="1800" t="s">
        <v>221</v>
      </c>
      <c r="U5" s="1801"/>
      <c r="V5" s="1786" t="s">
        <v>118</v>
      </c>
      <c r="W5" s="1791"/>
      <c r="X5" s="1786" t="s">
        <v>117</v>
      </c>
      <c r="Y5" s="1791"/>
      <c r="Z5" s="1781" t="s">
        <v>541</v>
      </c>
      <c r="AA5" s="1781"/>
      <c r="AB5" s="1786" t="s">
        <v>118</v>
      </c>
      <c r="AC5" s="1791"/>
      <c r="AD5" s="1786" t="s">
        <v>117</v>
      </c>
      <c r="AE5" s="1791"/>
      <c r="AF5" s="1781" t="s">
        <v>248</v>
      </c>
      <c r="AG5" s="1781"/>
      <c r="AH5" s="1786" t="s">
        <v>118</v>
      </c>
      <c r="AI5" s="1791"/>
      <c r="AJ5" s="1786" t="s">
        <v>117</v>
      </c>
      <c r="AK5" s="1791"/>
      <c r="AL5" s="1798" t="s">
        <v>577</v>
      </c>
      <c r="AM5" s="1799"/>
      <c r="AN5" s="1796" t="s">
        <v>118</v>
      </c>
      <c r="AO5" s="1797"/>
      <c r="AP5" s="1796" t="s">
        <v>117</v>
      </c>
      <c r="AQ5" s="1797"/>
      <c r="AR5" s="1798" t="s">
        <v>578</v>
      </c>
      <c r="AS5" s="1799"/>
      <c r="AT5" s="1796" t="s">
        <v>118</v>
      </c>
      <c r="AU5" s="1797"/>
      <c r="AV5" s="1796" t="s">
        <v>117</v>
      </c>
      <c r="AW5" s="1797"/>
      <c r="AX5" s="1792" t="s">
        <v>282</v>
      </c>
      <c r="AY5" s="1782"/>
      <c r="AZ5" s="1786" t="s">
        <v>118</v>
      </c>
      <c r="BA5" s="1791"/>
      <c r="BB5" s="1786" t="s">
        <v>117</v>
      </c>
      <c r="BC5" s="1791"/>
      <c r="BD5" s="1792" t="s">
        <v>663</v>
      </c>
      <c r="BE5" s="1792"/>
      <c r="BF5" s="1786" t="s">
        <v>118</v>
      </c>
      <c r="BG5" s="1791"/>
      <c r="BH5" s="1786" t="s">
        <v>117</v>
      </c>
      <c r="BI5" s="1791"/>
    </row>
    <row r="6" spans="1:61" s="268" customFormat="1" ht="18" customHeight="1" x14ac:dyDescent="0.2">
      <c r="A6" s="1781"/>
      <c r="B6" s="1784"/>
      <c r="C6" s="1785"/>
      <c r="D6" s="1788"/>
      <c r="E6" s="1789"/>
      <c r="F6" s="1790"/>
      <c r="G6" s="1790"/>
      <c r="H6" s="1793" t="s">
        <v>394</v>
      </c>
      <c r="I6" s="1794"/>
      <c r="J6" s="1794"/>
      <c r="K6" s="1794"/>
      <c r="L6" s="1794"/>
      <c r="M6" s="1794"/>
      <c r="N6" s="1793" t="s">
        <v>728</v>
      </c>
      <c r="O6" s="1793"/>
      <c r="P6" s="1793"/>
      <c r="Q6" s="1793"/>
      <c r="R6" s="1793"/>
      <c r="S6" s="1793"/>
      <c r="T6" s="1793" t="s">
        <v>205</v>
      </c>
      <c r="U6" s="1793"/>
      <c r="V6" s="1793"/>
      <c r="W6" s="1793"/>
      <c r="X6" s="1793"/>
      <c r="Y6" s="1793"/>
      <c r="Z6" s="1793" t="s">
        <v>540</v>
      </c>
      <c r="AA6" s="1794"/>
      <c r="AB6" s="1794"/>
      <c r="AC6" s="1794"/>
      <c r="AD6" s="1794"/>
      <c r="AE6" s="1794"/>
      <c r="AF6" s="1793" t="s">
        <v>204</v>
      </c>
      <c r="AG6" s="1794"/>
      <c r="AH6" s="1794"/>
      <c r="AI6" s="1794"/>
      <c r="AJ6" s="1794"/>
      <c r="AK6" s="1794"/>
      <c r="AL6" s="1777" t="s">
        <v>217</v>
      </c>
      <c r="AM6" s="1795"/>
      <c r="AN6" s="1795"/>
      <c r="AO6" s="1795"/>
      <c r="AP6" s="1795"/>
      <c r="AQ6" s="1769"/>
      <c r="AR6" s="1768" t="s">
        <v>310</v>
      </c>
      <c r="AS6" s="1795"/>
      <c r="AT6" s="1795"/>
      <c r="AU6" s="1795"/>
      <c r="AV6" s="1795"/>
      <c r="AW6" s="1769"/>
      <c r="AX6" s="1794" t="s">
        <v>281</v>
      </c>
      <c r="AY6" s="1794"/>
      <c r="AZ6" s="1794"/>
      <c r="BA6" s="1794"/>
      <c r="BB6" s="1794"/>
      <c r="BC6" s="1794"/>
      <c r="BD6" s="1793" t="s">
        <v>389</v>
      </c>
      <c r="BE6" s="1794"/>
      <c r="BF6" s="1794"/>
      <c r="BG6" s="1794"/>
      <c r="BH6" s="1794"/>
      <c r="BI6" s="1794"/>
    </row>
    <row r="7" spans="1:61" s="146" customFormat="1" ht="18" customHeight="1" x14ac:dyDescent="0.2">
      <c r="A7" s="144"/>
      <c r="B7" s="145" t="s">
        <v>156</v>
      </c>
      <c r="C7" s="145" t="s">
        <v>157</v>
      </c>
      <c r="D7" s="661" t="s">
        <v>156</v>
      </c>
      <c r="E7" s="661" t="s">
        <v>157</v>
      </c>
      <c r="F7" s="661" t="s">
        <v>156</v>
      </c>
      <c r="G7" s="661" t="s">
        <v>157</v>
      </c>
      <c r="H7" s="145" t="s">
        <v>156</v>
      </c>
      <c r="I7" s="145" t="s">
        <v>157</v>
      </c>
      <c r="J7" s="292" t="s">
        <v>156</v>
      </c>
      <c r="K7" s="292" t="s">
        <v>157</v>
      </c>
      <c r="L7" s="292" t="s">
        <v>156</v>
      </c>
      <c r="M7" s="292" t="s">
        <v>157</v>
      </c>
      <c r="N7" s="145" t="s">
        <v>156</v>
      </c>
      <c r="O7" s="145" t="s">
        <v>157</v>
      </c>
      <c r="P7" s="292" t="s">
        <v>156</v>
      </c>
      <c r="Q7" s="292" t="s">
        <v>157</v>
      </c>
      <c r="R7" s="292" t="s">
        <v>156</v>
      </c>
      <c r="S7" s="292" t="s">
        <v>157</v>
      </c>
      <c r="T7" s="145" t="s">
        <v>156</v>
      </c>
      <c r="U7" s="145" t="s">
        <v>157</v>
      </c>
      <c r="V7" s="292" t="s">
        <v>156</v>
      </c>
      <c r="W7" s="292" t="s">
        <v>157</v>
      </c>
      <c r="X7" s="292" t="s">
        <v>156</v>
      </c>
      <c r="Y7" s="292" t="s">
        <v>157</v>
      </c>
      <c r="Z7" s="145" t="s">
        <v>156</v>
      </c>
      <c r="AA7" s="145" t="s">
        <v>157</v>
      </c>
      <c r="AB7" s="292" t="s">
        <v>156</v>
      </c>
      <c r="AC7" s="292" t="s">
        <v>157</v>
      </c>
      <c r="AD7" s="292" t="s">
        <v>156</v>
      </c>
      <c r="AE7" s="292" t="s">
        <v>157</v>
      </c>
      <c r="AF7" s="145" t="s">
        <v>156</v>
      </c>
      <c r="AG7" s="145" t="s">
        <v>157</v>
      </c>
      <c r="AH7" s="661" t="s">
        <v>156</v>
      </c>
      <c r="AI7" s="661" t="s">
        <v>157</v>
      </c>
      <c r="AJ7" s="661" t="s">
        <v>156</v>
      </c>
      <c r="AK7" s="661" t="s">
        <v>157</v>
      </c>
      <c r="AL7" s="966" t="s">
        <v>156</v>
      </c>
      <c r="AM7" s="966" t="s">
        <v>157</v>
      </c>
      <c r="AN7" s="661" t="s">
        <v>156</v>
      </c>
      <c r="AO7" s="661" t="s">
        <v>157</v>
      </c>
      <c r="AP7" s="661" t="s">
        <v>156</v>
      </c>
      <c r="AQ7" s="661" t="s">
        <v>157</v>
      </c>
      <c r="AR7" s="966" t="s">
        <v>156</v>
      </c>
      <c r="AS7" s="966" t="s">
        <v>157</v>
      </c>
      <c r="AT7" s="661" t="s">
        <v>156</v>
      </c>
      <c r="AU7" s="661" t="s">
        <v>157</v>
      </c>
      <c r="AV7" s="661" t="s">
        <v>156</v>
      </c>
      <c r="AW7" s="661" t="s">
        <v>157</v>
      </c>
      <c r="AX7" s="145" t="s">
        <v>156</v>
      </c>
      <c r="AY7" s="145" t="s">
        <v>157</v>
      </c>
      <c r="AZ7" s="661" t="s">
        <v>156</v>
      </c>
      <c r="BA7" s="661" t="s">
        <v>157</v>
      </c>
      <c r="BB7" s="661" t="s">
        <v>156</v>
      </c>
      <c r="BC7" s="661" t="s">
        <v>157</v>
      </c>
      <c r="BD7" s="145" t="s">
        <v>156</v>
      </c>
      <c r="BE7" s="145" t="s">
        <v>157</v>
      </c>
      <c r="BF7" s="661" t="s">
        <v>156</v>
      </c>
      <c r="BG7" s="661" t="s">
        <v>157</v>
      </c>
      <c r="BH7" s="661" t="s">
        <v>156</v>
      </c>
      <c r="BI7" s="661" t="s">
        <v>157</v>
      </c>
    </row>
    <row r="8" spans="1:61" s="257" customFormat="1" ht="21" customHeight="1" x14ac:dyDescent="0.25">
      <c r="A8" s="147" t="s">
        <v>79</v>
      </c>
      <c r="B8" s="148">
        <f>H8+AX8+T8+AL8+AF8+BD8+Z8+N8+AR8</f>
        <v>1306632.6100000001</v>
      </c>
      <c r="C8" s="148">
        <f t="shared" ref="C8:G8" si="0">I8+AY8+U8+AM8+AG8+BE8+AA8+O8+AS8</f>
        <v>190930.17000000004</v>
      </c>
      <c r="D8" s="495">
        <f t="shared" si="0"/>
        <v>1306632.6100000001</v>
      </c>
      <c r="E8" s="495">
        <f t="shared" si="0"/>
        <v>190930.17000000004</v>
      </c>
      <c r="F8" s="495">
        <f t="shared" si="0"/>
        <v>0</v>
      </c>
      <c r="G8" s="495">
        <f t="shared" si="0"/>
        <v>0</v>
      </c>
      <c r="H8" s="151">
        <f>[1]Субсидия_факт!EF10</f>
        <v>0</v>
      </c>
      <c r="I8" s="718"/>
      <c r="J8" s="495">
        <f>H8-L8</f>
        <v>0</v>
      </c>
      <c r="K8" s="495">
        <f>I8-M8</f>
        <v>0</v>
      </c>
      <c r="L8" s="825">
        <f>[1]Субсидия_факт!EH10</f>
        <v>0</v>
      </c>
      <c r="M8" s="1173"/>
      <c r="N8" s="151">
        <f>[1]Субсидия_факт!ER10</f>
        <v>0</v>
      </c>
      <c r="O8" s="718"/>
      <c r="P8" s="495">
        <f>N8-R8</f>
        <v>0</v>
      </c>
      <c r="Q8" s="495">
        <f>O8-S8</f>
        <v>0</v>
      </c>
      <c r="R8" s="825">
        <f>[1]Субсидия_факт!ET10</f>
        <v>0</v>
      </c>
      <c r="S8" s="1173"/>
      <c r="T8" s="151">
        <f>[1]Субсидия_факт!FF10</f>
        <v>0</v>
      </c>
      <c r="U8" s="718"/>
      <c r="V8" s="495">
        <f>T8-X8</f>
        <v>0</v>
      </c>
      <c r="W8" s="495">
        <f>U8-Y8</f>
        <v>0</v>
      </c>
      <c r="X8" s="825">
        <f>[1]Субсидия_факт!FH10</f>
        <v>0</v>
      </c>
      <c r="Y8" s="1173"/>
      <c r="Z8" s="151">
        <f>[1]Субсидия_факт!GJ10</f>
        <v>0</v>
      </c>
      <c r="AA8" s="718"/>
      <c r="AB8" s="495">
        <f>Z8-AD8</f>
        <v>0</v>
      </c>
      <c r="AC8" s="495">
        <f>AA8-AE8</f>
        <v>0</v>
      </c>
      <c r="AD8" s="825">
        <f>[1]Субсидия_факт!GL10</f>
        <v>0</v>
      </c>
      <c r="AE8" s="1173"/>
      <c r="AF8" s="151">
        <f>[1]Субсидия_факт!GR10</f>
        <v>0</v>
      </c>
      <c r="AG8" s="1482">
        <f>1251140.65-'Прочая  субсидия_МР  и  ГО'!AA8</f>
        <v>0</v>
      </c>
      <c r="AH8" s="495">
        <f>AF8-AJ8</f>
        <v>0</v>
      </c>
      <c r="AI8" s="495">
        <f>AG8-AK8</f>
        <v>0</v>
      </c>
      <c r="AJ8" s="825">
        <f>[1]Субсидия_факт!GT10</f>
        <v>0</v>
      </c>
      <c r="AK8" s="1173"/>
      <c r="AL8" s="151">
        <f>[1]Субсидия_факт!IJ10</f>
        <v>0</v>
      </c>
      <c r="AM8" s="718"/>
      <c r="AN8" s="495">
        <f>AL8-AP8</f>
        <v>0</v>
      </c>
      <c r="AO8" s="495">
        <f>AM8-AQ8</f>
        <v>0</v>
      </c>
      <c r="AP8" s="825">
        <f>[1]Субсидия_факт!IL10</f>
        <v>0</v>
      </c>
      <c r="AQ8" s="1173"/>
      <c r="AR8" s="151">
        <f>[1]Субсидия_факт!IP10</f>
        <v>0</v>
      </c>
      <c r="AS8" s="718"/>
      <c r="AT8" s="495">
        <f>AR8-AV8</f>
        <v>0</v>
      </c>
      <c r="AU8" s="495">
        <f>AS8-AW8</f>
        <v>0</v>
      </c>
      <c r="AV8" s="825">
        <f>[1]Субсидия_факт!IR10</f>
        <v>0</v>
      </c>
      <c r="AW8" s="1173"/>
      <c r="AX8" s="151">
        <f>[1]Субсидия_факт!JJ10</f>
        <v>306632.61000000004</v>
      </c>
      <c r="AY8" s="1482">
        <f>299751.09-'Прочая  субсидия_МР  и  ГО'!AO8</f>
        <v>190930.17000000004</v>
      </c>
      <c r="AZ8" s="495">
        <f>AX8-BB8</f>
        <v>306632.61000000004</v>
      </c>
      <c r="BA8" s="495">
        <f>AY8-BC8</f>
        <v>190930.17000000004</v>
      </c>
      <c r="BB8" s="825">
        <f>[1]Субсидия_факт!JL10</f>
        <v>0</v>
      </c>
      <c r="BC8" s="1173"/>
      <c r="BD8" s="151">
        <f>[1]Субсидия_факт!JP10</f>
        <v>1000000</v>
      </c>
      <c r="BE8" s="718"/>
      <c r="BF8" s="495">
        <f>BD8-BH8</f>
        <v>1000000</v>
      </c>
      <c r="BG8" s="495">
        <f>BE8-BI8</f>
        <v>0</v>
      </c>
      <c r="BH8" s="825">
        <f>[1]Субсидия_факт!JR10</f>
        <v>0</v>
      </c>
      <c r="BI8" s="1173"/>
    </row>
    <row r="9" spans="1:61" s="152" customFormat="1" ht="21" customHeight="1" x14ac:dyDescent="0.25">
      <c r="A9" s="147" t="s">
        <v>80</v>
      </c>
      <c r="B9" s="148">
        <f t="shared" ref="B9:B25" si="1">H9+AX9+T9+AL9+AF9+BD9+Z9+N9+AR9</f>
        <v>30256400.309999999</v>
      </c>
      <c r="C9" s="148">
        <f t="shared" ref="C9:C25" si="2">I9+AY9+U9+AM9+AG9+BE9+AA9+O9+AS9</f>
        <v>14541337.630000001</v>
      </c>
      <c r="D9" s="495">
        <f t="shared" ref="D9:D25" si="3">J9+AZ9+V9+AN9+AH9+BF9+AB9+P9+AT9</f>
        <v>654259.91</v>
      </c>
      <c r="E9" s="495">
        <f t="shared" ref="E9:E25" si="4">K9+BA9+W9+AO9+AI9+BG9+AC9+Q9+AU9</f>
        <v>482881.84999999992</v>
      </c>
      <c r="F9" s="495">
        <f t="shared" ref="F9:F25" si="5">L9+BB9+X9+AP9+AJ9+BH9+AD9+R9+AV9</f>
        <v>29602140.399999999</v>
      </c>
      <c r="G9" s="495">
        <f t="shared" ref="G9:G25" si="6">M9+BC9+Y9+AQ9+AK9+BI9+AE9+S9+AW9</f>
        <v>14058455.780000001</v>
      </c>
      <c r="H9" s="151">
        <f>[1]Субсидия_факт!EF11</f>
        <v>0</v>
      </c>
      <c r="I9" s="718"/>
      <c r="J9" s="495">
        <f t="shared" ref="J9:J25" si="7">H9-L9</f>
        <v>0</v>
      </c>
      <c r="K9" s="495">
        <f t="shared" ref="K9:K25" si="8">I9-M9</f>
        <v>0</v>
      </c>
      <c r="L9" s="825">
        <f>[1]Субсидия_факт!EH11</f>
        <v>0</v>
      </c>
      <c r="M9" s="1173"/>
      <c r="N9" s="151">
        <f>[1]Субсидия_факт!ER11</f>
        <v>0</v>
      </c>
      <c r="O9" s="718"/>
      <c r="P9" s="495">
        <f t="shared" ref="P9:P25" si="9">N9-R9</f>
        <v>0</v>
      </c>
      <c r="Q9" s="495">
        <f t="shared" ref="Q9:Q25" si="10">O9-S9</f>
        <v>0</v>
      </c>
      <c r="R9" s="825">
        <f>[1]Субсидия_факт!ET11</f>
        <v>0</v>
      </c>
      <c r="S9" s="1173"/>
      <c r="T9" s="151">
        <f>[1]Субсидия_факт!FF11</f>
        <v>0</v>
      </c>
      <c r="U9" s="718"/>
      <c r="V9" s="495">
        <f t="shared" ref="V9:V25" si="11">T9-X9</f>
        <v>0</v>
      </c>
      <c r="W9" s="495">
        <f t="shared" ref="W9:W25" si="12">U9-Y9</f>
        <v>0</v>
      </c>
      <c r="X9" s="825">
        <f>[1]Субсидия_факт!FH11</f>
        <v>0</v>
      </c>
      <c r="Y9" s="1173"/>
      <c r="Z9" s="151">
        <f>[1]Субсидия_факт!GJ11</f>
        <v>0</v>
      </c>
      <c r="AA9" s="718"/>
      <c r="AB9" s="495">
        <f t="shared" ref="AB9:AB25" si="13">Z9-AD9</f>
        <v>0</v>
      </c>
      <c r="AC9" s="495">
        <f t="shared" ref="AC9:AC25" si="14">AA9-AE9</f>
        <v>0</v>
      </c>
      <c r="AD9" s="825">
        <f>[1]Субсидия_факт!GL11</f>
        <v>0</v>
      </c>
      <c r="AE9" s="1173"/>
      <c r="AF9" s="151">
        <f>[1]Субсидия_факт!GR11</f>
        <v>29370000</v>
      </c>
      <c r="AG9" s="1482">
        <f>13899857.46-'Прочая  субсидия_МР  и  ГО'!AA9</f>
        <v>13899857.460000001</v>
      </c>
      <c r="AH9" s="495">
        <f t="shared" ref="AH9:AH25" si="15">AF9-AJ9</f>
        <v>0</v>
      </c>
      <c r="AI9" s="495">
        <f t="shared" ref="AI9:AI25" si="16">AG9-AK9</f>
        <v>0</v>
      </c>
      <c r="AJ9" s="825">
        <f>[1]Субсидия_факт!GT11</f>
        <v>29370000</v>
      </c>
      <c r="AK9" s="1507">
        <f>AG9</f>
        <v>13899857.460000001</v>
      </c>
      <c r="AL9" s="151">
        <f>[1]Субсидия_факт!IJ11</f>
        <v>0</v>
      </c>
      <c r="AM9" s="718"/>
      <c r="AN9" s="495">
        <f t="shared" ref="AN9:AN25" si="17">AL9-AP9</f>
        <v>0</v>
      </c>
      <c r="AO9" s="495">
        <f t="shared" ref="AO9:AO25" si="18">AM9-AQ9</f>
        <v>0</v>
      </c>
      <c r="AP9" s="825">
        <f>[1]Субсидия_факт!IL11</f>
        <v>0</v>
      </c>
      <c r="AQ9" s="1173"/>
      <c r="AR9" s="151">
        <f>[1]Субсидия_факт!IP11</f>
        <v>0</v>
      </c>
      <c r="AS9" s="718"/>
      <c r="AT9" s="495">
        <f t="shared" ref="AT9:AT25" si="19">AR9-AV9</f>
        <v>0</v>
      </c>
      <c r="AU9" s="495">
        <f t="shared" ref="AU9:AU25" si="20">AS9-AW9</f>
        <v>0</v>
      </c>
      <c r="AV9" s="825">
        <f>[1]Субсидия_факт!IR11</f>
        <v>0</v>
      </c>
      <c r="AW9" s="1173"/>
      <c r="AX9" s="151">
        <f>[1]Субсидия_факт!JJ11</f>
        <v>886400.31</v>
      </c>
      <c r="AY9" s="1482">
        <f>881640.23-'Прочая  субсидия_МР  и  ГО'!AO9</f>
        <v>641480.16999999993</v>
      </c>
      <c r="AZ9" s="495">
        <f t="shared" ref="AZ9:AZ25" si="21">AX9-BB9</f>
        <v>654259.91</v>
      </c>
      <c r="BA9" s="495">
        <f t="shared" ref="BA9:BA25" si="22">AY9-BC9</f>
        <v>482881.84999999992</v>
      </c>
      <c r="BB9" s="825">
        <f>[1]Субсидия_факт!JL11</f>
        <v>232140.4</v>
      </c>
      <c r="BC9" s="1173">
        <v>158598.32</v>
      </c>
      <c r="BD9" s="151">
        <f>[1]Субсидия_факт!JP11</f>
        <v>0</v>
      </c>
      <c r="BE9" s="718"/>
      <c r="BF9" s="495">
        <f t="shared" ref="BF9:BF25" si="23">BD9-BH9</f>
        <v>0</v>
      </c>
      <c r="BG9" s="495">
        <f t="shared" ref="BG9:BG25" si="24">BE9-BI9</f>
        <v>0</v>
      </c>
      <c r="BH9" s="825">
        <f>[1]Субсидия_факт!JR11</f>
        <v>0</v>
      </c>
      <c r="BI9" s="1173"/>
    </row>
    <row r="10" spans="1:61" s="152" customFormat="1" ht="21" customHeight="1" x14ac:dyDescent="0.25">
      <c r="A10" s="147" t="s">
        <v>81</v>
      </c>
      <c r="B10" s="148">
        <f t="shared" si="1"/>
        <v>4349042.9000000004</v>
      </c>
      <c r="C10" s="148">
        <f t="shared" si="2"/>
        <v>2212996.4500000002</v>
      </c>
      <c r="D10" s="495">
        <f t="shared" si="3"/>
        <v>2249042.9</v>
      </c>
      <c r="E10" s="495">
        <f t="shared" si="4"/>
        <v>2212996.4500000002</v>
      </c>
      <c r="F10" s="495">
        <f t="shared" si="5"/>
        <v>2100000</v>
      </c>
      <c r="G10" s="495">
        <f t="shared" si="6"/>
        <v>0</v>
      </c>
      <c r="H10" s="151">
        <f>[1]Субсидия_факт!EF12</f>
        <v>0</v>
      </c>
      <c r="I10" s="718"/>
      <c r="J10" s="495">
        <f t="shared" si="7"/>
        <v>0</v>
      </c>
      <c r="K10" s="495">
        <f t="shared" si="8"/>
        <v>0</v>
      </c>
      <c r="L10" s="825">
        <f>[1]Субсидия_факт!EH12</f>
        <v>0</v>
      </c>
      <c r="M10" s="1173"/>
      <c r="N10" s="151">
        <f>[1]Субсидия_факт!ER12</f>
        <v>0</v>
      </c>
      <c r="O10" s="718"/>
      <c r="P10" s="495">
        <f t="shared" si="9"/>
        <v>0</v>
      </c>
      <c r="Q10" s="495">
        <f t="shared" si="10"/>
        <v>0</v>
      </c>
      <c r="R10" s="825">
        <f>[1]Субсидия_факт!ET12</f>
        <v>0</v>
      </c>
      <c r="S10" s="1173"/>
      <c r="T10" s="151">
        <f>[1]Субсидия_факт!FF12</f>
        <v>0</v>
      </c>
      <c r="U10" s="718"/>
      <c r="V10" s="495">
        <f t="shared" si="11"/>
        <v>0</v>
      </c>
      <c r="W10" s="495">
        <f t="shared" si="12"/>
        <v>0</v>
      </c>
      <c r="X10" s="825">
        <f>[1]Субсидия_факт!FH12</f>
        <v>0</v>
      </c>
      <c r="Y10" s="1173"/>
      <c r="Z10" s="151">
        <f>[1]Субсидия_факт!GJ12</f>
        <v>0</v>
      </c>
      <c r="AA10" s="718"/>
      <c r="AB10" s="495">
        <f t="shared" si="13"/>
        <v>0</v>
      </c>
      <c r="AC10" s="495">
        <f t="shared" si="14"/>
        <v>0</v>
      </c>
      <c r="AD10" s="825">
        <f>[1]Субсидия_факт!GL12</f>
        <v>0</v>
      </c>
      <c r="AE10" s="1173"/>
      <c r="AF10" s="151">
        <f>[1]Субсидия_факт!GR12</f>
        <v>2024330</v>
      </c>
      <c r="AG10" s="1482">
        <f>2024330-'Прочая  субсидия_МР  и  ГО'!AA10</f>
        <v>2024330</v>
      </c>
      <c r="AH10" s="495">
        <f t="shared" si="15"/>
        <v>2024330</v>
      </c>
      <c r="AI10" s="495">
        <f t="shared" si="16"/>
        <v>2024330</v>
      </c>
      <c r="AJ10" s="825">
        <f>[1]Субсидия_факт!GT12</f>
        <v>0</v>
      </c>
      <c r="AK10" s="1173"/>
      <c r="AL10" s="151">
        <f>[1]Субсидия_факт!IJ12</f>
        <v>0</v>
      </c>
      <c r="AM10" s="718"/>
      <c r="AN10" s="495">
        <f t="shared" si="17"/>
        <v>0</v>
      </c>
      <c r="AO10" s="495">
        <f t="shared" si="18"/>
        <v>0</v>
      </c>
      <c r="AP10" s="825">
        <f>[1]Субсидия_факт!IL12</f>
        <v>0</v>
      </c>
      <c r="AQ10" s="1173"/>
      <c r="AR10" s="151">
        <f>[1]Субсидия_факт!IP12</f>
        <v>0</v>
      </c>
      <c r="AS10" s="718"/>
      <c r="AT10" s="495">
        <f t="shared" si="19"/>
        <v>0</v>
      </c>
      <c r="AU10" s="495">
        <f t="shared" si="20"/>
        <v>0</v>
      </c>
      <c r="AV10" s="825">
        <f>[1]Субсидия_факт!IR12</f>
        <v>0</v>
      </c>
      <c r="AW10" s="1173"/>
      <c r="AX10" s="151">
        <f>[1]Субсидия_факт!JJ12</f>
        <v>224712.9</v>
      </c>
      <c r="AY10" s="1482">
        <f>455278.46-'Прочая  субсидия_МР  и  ГО'!AO10</f>
        <v>188666.45</v>
      </c>
      <c r="AZ10" s="495">
        <f t="shared" si="21"/>
        <v>224712.9</v>
      </c>
      <c r="BA10" s="495">
        <f t="shared" si="22"/>
        <v>188666.45</v>
      </c>
      <c r="BB10" s="825">
        <f>[1]Субсидия_факт!JL12</f>
        <v>0</v>
      </c>
      <c r="BC10" s="1173"/>
      <c r="BD10" s="151">
        <f>[1]Субсидия_факт!JP12</f>
        <v>2100000</v>
      </c>
      <c r="BE10" s="718"/>
      <c r="BF10" s="495">
        <f t="shared" si="23"/>
        <v>0</v>
      </c>
      <c r="BG10" s="495">
        <f t="shared" si="24"/>
        <v>0</v>
      </c>
      <c r="BH10" s="825">
        <f>[1]Субсидия_факт!JR12</f>
        <v>2100000</v>
      </c>
      <c r="BI10" s="1173"/>
    </row>
    <row r="11" spans="1:61" s="152" customFormat="1" ht="21" customHeight="1" x14ac:dyDescent="0.25">
      <c r="A11" s="147" t="s">
        <v>82</v>
      </c>
      <c r="B11" s="148">
        <f t="shared" si="1"/>
        <v>2748796.4699999997</v>
      </c>
      <c r="C11" s="148">
        <f t="shared" si="2"/>
        <v>403111.01</v>
      </c>
      <c r="D11" s="495">
        <f t="shared" si="3"/>
        <v>2748796.4699999997</v>
      </c>
      <c r="E11" s="495">
        <f t="shared" si="4"/>
        <v>403111.01</v>
      </c>
      <c r="F11" s="495">
        <f t="shared" si="5"/>
        <v>0</v>
      </c>
      <c r="G11" s="495">
        <f t="shared" si="6"/>
        <v>0</v>
      </c>
      <c r="H11" s="151">
        <f>[1]Субсидия_факт!EF13</f>
        <v>0</v>
      </c>
      <c r="I11" s="718"/>
      <c r="J11" s="495">
        <f t="shared" si="7"/>
        <v>0</v>
      </c>
      <c r="K11" s="495">
        <f t="shared" si="8"/>
        <v>0</v>
      </c>
      <c r="L11" s="825">
        <f>[1]Субсидия_факт!EH13</f>
        <v>0</v>
      </c>
      <c r="M11" s="1173"/>
      <c r="N11" s="151">
        <f>[1]Субсидия_факт!ER13</f>
        <v>0</v>
      </c>
      <c r="O11" s="718"/>
      <c r="P11" s="495">
        <f t="shared" si="9"/>
        <v>0</v>
      </c>
      <c r="Q11" s="495">
        <f t="shared" si="10"/>
        <v>0</v>
      </c>
      <c r="R11" s="825">
        <f>[1]Субсидия_факт!ET13</f>
        <v>0</v>
      </c>
      <c r="S11" s="1173"/>
      <c r="T11" s="151">
        <f>[1]Субсидия_факт!FF13</f>
        <v>0</v>
      </c>
      <c r="U11" s="718"/>
      <c r="V11" s="495">
        <f t="shared" si="11"/>
        <v>0</v>
      </c>
      <c r="W11" s="495">
        <f t="shared" si="12"/>
        <v>0</v>
      </c>
      <c r="X11" s="825">
        <f>[1]Субсидия_факт!FH13</f>
        <v>0</v>
      </c>
      <c r="Y11" s="1173"/>
      <c r="Z11" s="151">
        <f>[1]Субсидия_факт!GJ13</f>
        <v>0</v>
      </c>
      <c r="AA11" s="718"/>
      <c r="AB11" s="495">
        <f t="shared" si="13"/>
        <v>0</v>
      </c>
      <c r="AC11" s="495">
        <f t="shared" si="14"/>
        <v>0</v>
      </c>
      <c r="AD11" s="825">
        <f>[1]Субсидия_факт!GL13</f>
        <v>0</v>
      </c>
      <c r="AE11" s="1173"/>
      <c r="AF11" s="151">
        <f>[1]Субсидия_факт!GR13</f>
        <v>197575.96999999997</v>
      </c>
      <c r="AG11" s="1482">
        <f>1084339.92-'Прочая  субсидия_МР  и  ГО'!AA11</f>
        <v>197575.96999999997</v>
      </c>
      <c r="AH11" s="495">
        <f t="shared" si="15"/>
        <v>197575.96999999997</v>
      </c>
      <c r="AI11" s="495">
        <f t="shared" si="16"/>
        <v>197575.96999999997</v>
      </c>
      <c r="AJ11" s="825">
        <f>[1]Субсидия_факт!GT13</f>
        <v>0</v>
      </c>
      <c r="AK11" s="1173"/>
      <c r="AL11" s="151">
        <f>[1]Субсидия_факт!IJ13</f>
        <v>0</v>
      </c>
      <c r="AM11" s="718"/>
      <c r="AN11" s="495">
        <f t="shared" si="17"/>
        <v>0</v>
      </c>
      <c r="AO11" s="495">
        <f t="shared" si="18"/>
        <v>0</v>
      </c>
      <c r="AP11" s="825">
        <f>[1]Субсидия_факт!IL13</f>
        <v>0</v>
      </c>
      <c r="AQ11" s="1173"/>
      <c r="AR11" s="151">
        <f>[1]Субсидия_факт!IP13</f>
        <v>0</v>
      </c>
      <c r="AS11" s="718"/>
      <c r="AT11" s="495">
        <f t="shared" si="19"/>
        <v>0</v>
      </c>
      <c r="AU11" s="495">
        <f t="shared" si="20"/>
        <v>0</v>
      </c>
      <c r="AV11" s="825">
        <f>[1]Субсидия_факт!IR13</f>
        <v>0</v>
      </c>
      <c r="AW11" s="1173"/>
      <c r="AX11" s="151">
        <f>[1]Субсидия_факт!JJ13</f>
        <v>351220.49999999994</v>
      </c>
      <c r="AY11" s="1482">
        <f>437782.09-'Прочая  субсидия_МР  и  ГО'!AO11</f>
        <v>205535.04000000004</v>
      </c>
      <c r="AZ11" s="495">
        <f t="shared" si="21"/>
        <v>351220.49999999994</v>
      </c>
      <c r="BA11" s="495">
        <f t="shared" si="22"/>
        <v>205535.04000000004</v>
      </c>
      <c r="BB11" s="825">
        <f>[1]Субсидия_факт!JL13</f>
        <v>0</v>
      </c>
      <c r="BC11" s="1173"/>
      <c r="BD11" s="151">
        <f>[1]Субсидия_факт!JP13</f>
        <v>2200000</v>
      </c>
      <c r="BE11" s="718"/>
      <c r="BF11" s="495">
        <f t="shared" si="23"/>
        <v>2200000</v>
      </c>
      <c r="BG11" s="495">
        <f t="shared" si="24"/>
        <v>0</v>
      </c>
      <c r="BH11" s="825">
        <f>[1]Субсидия_факт!JR13</f>
        <v>0</v>
      </c>
      <c r="BI11" s="1173"/>
    </row>
    <row r="12" spans="1:61" s="152" customFormat="1" ht="21" customHeight="1" x14ac:dyDescent="0.25">
      <c r="A12" s="147" t="s">
        <v>83</v>
      </c>
      <c r="B12" s="148">
        <f t="shared" si="1"/>
        <v>6429154.8600000003</v>
      </c>
      <c r="C12" s="148">
        <f t="shared" si="2"/>
        <v>524877.03</v>
      </c>
      <c r="D12" s="495">
        <f t="shared" si="3"/>
        <v>6429154.8600000003</v>
      </c>
      <c r="E12" s="495">
        <f t="shared" si="4"/>
        <v>524877.03</v>
      </c>
      <c r="F12" s="495">
        <f t="shared" si="5"/>
        <v>0</v>
      </c>
      <c r="G12" s="495">
        <f t="shared" si="6"/>
        <v>0</v>
      </c>
      <c r="H12" s="151">
        <f>[1]Субсидия_факт!EF14</f>
        <v>0</v>
      </c>
      <c r="I12" s="718"/>
      <c r="J12" s="495">
        <f t="shared" si="7"/>
        <v>0</v>
      </c>
      <c r="K12" s="495">
        <f t="shared" si="8"/>
        <v>0</v>
      </c>
      <c r="L12" s="825">
        <f>[1]Субсидия_факт!EH14</f>
        <v>0</v>
      </c>
      <c r="M12" s="1173"/>
      <c r="N12" s="151">
        <f>[1]Субсидия_факт!ER14</f>
        <v>0</v>
      </c>
      <c r="O12" s="718"/>
      <c r="P12" s="495">
        <f t="shared" si="9"/>
        <v>0</v>
      </c>
      <c r="Q12" s="495">
        <f t="shared" si="10"/>
        <v>0</v>
      </c>
      <c r="R12" s="825">
        <f>[1]Субсидия_факт!ET14</f>
        <v>0</v>
      </c>
      <c r="S12" s="1173"/>
      <c r="T12" s="151">
        <f>[1]Субсидия_факт!FF14</f>
        <v>0</v>
      </c>
      <c r="U12" s="718"/>
      <c r="V12" s="495">
        <f t="shared" si="11"/>
        <v>0</v>
      </c>
      <c r="W12" s="495">
        <f t="shared" si="12"/>
        <v>0</v>
      </c>
      <c r="X12" s="825">
        <f>[1]Субсидия_факт!FH14</f>
        <v>0</v>
      </c>
      <c r="Y12" s="1173"/>
      <c r="Z12" s="151">
        <f>[1]Субсидия_факт!GJ14</f>
        <v>0</v>
      </c>
      <c r="AA12" s="718"/>
      <c r="AB12" s="495">
        <f t="shared" si="13"/>
        <v>0</v>
      </c>
      <c r="AC12" s="495">
        <f t="shared" si="14"/>
        <v>0</v>
      </c>
      <c r="AD12" s="825">
        <f>[1]Субсидия_факт!GL14</f>
        <v>0</v>
      </c>
      <c r="AE12" s="1173"/>
      <c r="AF12" s="151">
        <f>[1]Субсидия_факт!GR14</f>
        <v>4273577.95</v>
      </c>
      <c r="AG12" s="1482">
        <f>193600-'Прочая  субсидия_МР  и  ГО'!AA12</f>
        <v>193600</v>
      </c>
      <c r="AH12" s="495">
        <f t="shared" si="15"/>
        <v>4273577.95</v>
      </c>
      <c r="AI12" s="495">
        <f t="shared" si="16"/>
        <v>193600</v>
      </c>
      <c r="AJ12" s="825">
        <f>[1]Субсидия_факт!GT14</f>
        <v>0</v>
      </c>
      <c r="AK12" s="1173"/>
      <c r="AL12" s="151">
        <f>[1]Субсидия_факт!IJ14</f>
        <v>0</v>
      </c>
      <c r="AM12" s="718"/>
      <c r="AN12" s="495">
        <f t="shared" si="17"/>
        <v>0</v>
      </c>
      <c r="AO12" s="495">
        <f t="shared" si="18"/>
        <v>0</v>
      </c>
      <c r="AP12" s="825">
        <f>[1]Субсидия_факт!IL14</f>
        <v>0</v>
      </c>
      <c r="AQ12" s="1173"/>
      <c r="AR12" s="151">
        <f>[1]Субсидия_факт!IP14</f>
        <v>0</v>
      </c>
      <c r="AS12" s="718"/>
      <c r="AT12" s="495">
        <f t="shared" si="19"/>
        <v>0</v>
      </c>
      <c r="AU12" s="495">
        <f t="shared" si="20"/>
        <v>0</v>
      </c>
      <c r="AV12" s="825">
        <f>[1]Субсидия_факт!IR14</f>
        <v>0</v>
      </c>
      <c r="AW12" s="1173"/>
      <c r="AX12" s="151">
        <f>[1]Субсидия_факт!JJ14</f>
        <v>555576.91</v>
      </c>
      <c r="AY12" s="1482">
        <f>419792.73-'Прочая  субсидия_МР  и  ГО'!AO12</f>
        <v>331277.02999999997</v>
      </c>
      <c r="AZ12" s="495">
        <f t="shared" si="21"/>
        <v>555576.91</v>
      </c>
      <c r="BA12" s="495">
        <f t="shared" si="22"/>
        <v>331277.02999999997</v>
      </c>
      <c r="BB12" s="825">
        <f>[1]Субсидия_факт!JL14</f>
        <v>0</v>
      </c>
      <c r="BC12" s="1173"/>
      <c r="BD12" s="151">
        <f>[1]Субсидия_факт!JP14</f>
        <v>1600000</v>
      </c>
      <c r="BE12" s="718"/>
      <c r="BF12" s="495">
        <f t="shared" si="23"/>
        <v>1600000</v>
      </c>
      <c r="BG12" s="495">
        <f t="shared" si="24"/>
        <v>0</v>
      </c>
      <c r="BH12" s="825">
        <f>[1]Субсидия_факт!JR14</f>
        <v>0</v>
      </c>
      <c r="BI12" s="1173"/>
    </row>
    <row r="13" spans="1:61" s="152" customFormat="1" ht="21" customHeight="1" x14ac:dyDescent="0.25">
      <c r="A13" s="147" t="s">
        <v>84</v>
      </c>
      <c r="B13" s="148">
        <f t="shared" si="1"/>
        <v>1782613.6</v>
      </c>
      <c r="C13" s="148">
        <f t="shared" si="2"/>
        <v>157643.17000000001</v>
      </c>
      <c r="D13" s="495">
        <f t="shared" si="3"/>
        <v>1782613.6</v>
      </c>
      <c r="E13" s="495">
        <f t="shared" si="4"/>
        <v>157643.17000000001</v>
      </c>
      <c r="F13" s="495">
        <f t="shared" si="5"/>
        <v>0</v>
      </c>
      <c r="G13" s="495">
        <f t="shared" si="6"/>
        <v>0</v>
      </c>
      <c r="H13" s="151">
        <f>[1]Субсидия_факт!EF15</f>
        <v>0</v>
      </c>
      <c r="I13" s="718"/>
      <c r="J13" s="495">
        <f t="shared" si="7"/>
        <v>0</v>
      </c>
      <c r="K13" s="495">
        <f t="shared" si="8"/>
        <v>0</v>
      </c>
      <c r="L13" s="825">
        <f>[1]Субсидия_факт!EH15</f>
        <v>0</v>
      </c>
      <c r="M13" s="1173"/>
      <c r="N13" s="151">
        <f>[1]Субсидия_факт!ER15</f>
        <v>0</v>
      </c>
      <c r="O13" s="718"/>
      <c r="P13" s="495">
        <f t="shared" si="9"/>
        <v>0</v>
      </c>
      <c r="Q13" s="495">
        <f t="shared" si="10"/>
        <v>0</v>
      </c>
      <c r="R13" s="825">
        <f>[1]Субсидия_факт!ET15</f>
        <v>0</v>
      </c>
      <c r="S13" s="1173"/>
      <c r="T13" s="151">
        <f>[1]Субсидия_факт!FF15</f>
        <v>0</v>
      </c>
      <c r="U13" s="718"/>
      <c r="V13" s="495">
        <f t="shared" si="11"/>
        <v>0</v>
      </c>
      <c r="W13" s="495">
        <f t="shared" si="12"/>
        <v>0</v>
      </c>
      <c r="X13" s="825">
        <f>[1]Субсидия_факт!FH15</f>
        <v>0</v>
      </c>
      <c r="Y13" s="1173"/>
      <c r="Z13" s="151">
        <f>[1]Субсидия_факт!GJ15</f>
        <v>0</v>
      </c>
      <c r="AA13" s="718"/>
      <c r="AB13" s="495">
        <f t="shared" si="13"/>
        <v>0</v>
      </c>
      <c r="AC13" s="495">
        <f t="shared" si="14"/>
        <v>0</v>
      </c>
      <c r="AD13" s="825">
        <f>[1]Субсидия_факт!GL15</f>
        <v>0</v>
      </c>
      <c r="AE13" s="1173"/>
      <c r="AF13" s="151">
        <f>[1]Субсидия_факт!GR15</f>
        <v>0</v>
      </c>
      <c r="AG13" s="1482">
        <f>3149290.14-'Прочая  субсидия_МР  и  ГО'!AA13</f>
        <v>0</v>
      </c>
      <c r="AH13" s="495">
        <f t="shared" si="15"/>
        <v>0</v>
      </c>
      <c r="AI13" s="495">
        <f t="shared" si="16"/>
        <v>0</v>
      </c>
      <c r="AJ13" s="825">
        <f>[1]Субсидия_факт!GT15</f>
        <v>0</v>
      </c>
      <c r="AK13" s="1173"/>
      <c r="AL13" s="151">
        <f>[1]Субсидия_факт!IJ15</f>
        <v>0</v>
      </c>
      <c r="AM13" s="718"/>
      <c r="AN13" s="495">
        <f t="shared" si="17"/>
        <v>0</v>
      </c>
      <c r="AO13" s="495">
        <f t="shared" si="18"/>
        <v>0</v>
      </c>
      <c r="AP13" s="825">
        <f>[1]Субсидия_факт!IL15</f>
        <v>0</v>
      </c>
      <c r="AQ13" s="1173"/>
      <c r="AR13" s="151">
        <f>[1]Субсидия_факт!IP15</f>
        <v>0</v>
      </c>
      <c r="AS13" s="718"/>
      <c r="AT13" s="495">
        <f t="shared" si="19"/>
        <v>0</v>
      </c>
      <c r="AU13" s="495">
        <f t="shared" si="20"/>
        <v>0</v>
      </c>
      <c r="AV13" s="825">
        <f>[1]Субсидия_факт!IR15</f>
        <v>0</v>
      </c>
      <c r="AW13" s="1173"/>
      <c r="AX13" s="151">
        <f>[1]Субсидия_факт!JJ15</f>
        <v>382613.6</v>
      </c>
      <c r="AY13" s="1482">
        <f>307017.33-'Прочая  субсидия_МР  и  ГО'!AO13</f>
        <v>157643.17000000001</v>
      </c>
      <c r="AZ13" s="495">
        <f t="shared" si="21"/>
        <v>382613.6</v>
      </c>
      <c r="BA13" s="495">
        <f t="shared" si="22"/>
        <v>157643.17000000001</v>
      </c>
      <c r="BB13" s="825">
        <f>[1]Субсидия_факт!JL15</f>
        <v>0</v>
      </c>
      <c r="BC13" s="1173"/>
      <c r="BD13" s="151">
        <f>[1]Субсидия_факт!JP15</f>
        <v>1400000</v>
      </c>
      <c r="BE13" s="718"/>
      <c r="BF13" s="495">
        <f t="shared" si="23"/>
        <v>1400000</v>
      </c>
      <c r="BG13" s="495">
        <f t="shared" si="24"/>
        <v>0</v>
      </c>
      <c r="BH13" s="825">
        <f>[1]Субсидия_факт!JR15</f>
        <v>0</v>
      </c>
      <c r="BI13" s="1173"/>
    </row>
    <row r="14" spans="1:61" s="152" customFormat="1" ht="21" customHeight="1" x14ac:dyDescent="0.25">
      <c r="A14" s="147" t="s">
        <v>85</v>
      </c>
      <c r="B14" s="148">
        <f t="shared" si="1"/>
        <v>3415098.74</v>
      </c>
      <c r="C14" s="148">
        <f t="shared" si="2"/>
        <v>1329652.23</v>
      </c>
      <c r="D14" s="495">
        <f t="shared" si="3"/>
        <v>3415098.74</v>
      </c>
      <c r="E14" s="495">
        <f t="shared" si="4"/>
        <v>1329652.23</v>
      </c>
      <c r="F14" s="495">
        <f t="shared" si="5"/>
        <v>0</v>
      </c>
      <c r="G14" s="495">
        <f t="shared" si="6"/>
        <v>0</v>
      </c>
      <c r="H14" s="151">
        <f>[1]Субсидия_факт!EF16</f>
        <v>0</v>
      </c>
      <c r="I14" s="718"/>
      <c r="J14" s="495">
        <f t="shared" si="7"/>
        <v>0</v>
      </c>
      <c r="K14" s="495">
        <f t="shared" si="8"/>
        <v>0</v>
      </c>
      <c r="L14" s="825">
        <f>[1]Субсидия_факт!EH16</f>
        <v>0</v>
      </c>
      <c r="M14" s="1173"/>
      <c r="N14" s="151">
        <f>[1]Субсидия_факт!ER16</f>
        <v>0</v>
      </c>
      <c r="O14" s="718"/>
      <c r="P14" s="495">
        <f t="shared" si="9"/>
        <v>0</v>
      </c>
      <c r="Q14" s="495">
        <f t="shared" si="10"/>
        <v>0</v>
      </c>
      <c r="R14" s="825">
        <f>[1]Субсидия_факт!ET16</f>
        <v>0</v>
      </c>
      <c r="S14" s="1173"/>
      <c r="T14" s="151">
        <f>[1]Субсидия_факт!FF16</f>
        <v>0</v>
      </c>
      <c r="U14" s="718"/>
      <c r="V14" s="495">
        <f t="shared" si="11"/>
        <v>0</v>
      </c>
      <c r="W14" s="495">
        <f t="shared" si="12"/>
        <v>0</v>
      </c>
      <c r="X14" s="825">
        <f>[1]Субсидия_факт!FH16</f>
        <v>0</v>
      </c>
      <c r="Y14" s="1173"/>
      <c r="Z14" s="151">
        <f>[1]Субсидия_факт!GJ16</f>
        <v>0</v>
      </c>
      <c r="AA14" s="718"/>
      <c r="AB14" s="495">
        <f t="shared" si="13"/>
        <v>0</v>
      </c>
      <c r="AC14" s="495">
        <f t="shared" si="14"/>
        <v>0</v>
      </c>
      <c r="AD14" s="825">
        <f>[1]Субсидия_факт!GL16</f>
        <v>0</v>
      </c>
      <c r="AE14" s="1173"/>
      <c r="AF14" s="151">
        <f>[1]Субсидия_факт!GR16</f>
        <v>986144.79</v>
      </c>
      <c r="AG14" s="1482">
        <f>986144.79-'Прочая  субсидия_МР  и  ГО'!AA14</f>
        <v>986144.79</v>
      </c>
      <c r="AH14" s="495">
        <f t="shared" si="15"/>
        <v>986144.79</v>
      </c>
      <c r="AI14" s="495">
        <f t="shared" si="16"/>
        <v>986144.79</v>
      </c>
      <c r="AJ14" s="825">
        <f>[1]Субсидия_факт!GT16</f>
        <v>0</v>
      </c>
      <c r="AK14" s="1173"/>
      <c r="AL14" s="151">
        <f>[1]Субсидия_факт!IJ16</f>
        <v>0</v>
      </c>
      <c r="AM14" s="718"/>
      <c r="AN14" s="495">
        <f t="shared" si="17"/>
        <v>0</v>
      </c>
      <c r="AO14" s="495">
        <f t="shared" si="18"/>
        <v>0</v>
      </c>
      <c r="AP14" s="825">
        <f>[1]Субсидия_факт!IL16</f>
        <v>0</v>
      </c>
      <c r="AQ14" s="1173"/>
      <c r="AR14" s="151">
        <f>[1]Субсидия_факт!IP16</f>
        <v>0</v>
      </c>
      <c r="AS14" s="718"/>
      <c r="AT14" s="495">
        <f t="shared" si="19"/>
        <v>0</v>
      </c>
      <c r="AU14" s="495">
        <f t="shared" si="20"/>
        <v>0</v>
      </c>
      <c r="AV14" s="825">
        <f>[1]Субсидия_факт!IR16</f>
        <v>0</v>
      </c>
      <c r="AW14" s="1173"/>
      <c r="AX14" s="151">
        <f>[1]Субсидия_факт!JJ16</f>
        <v>428953.95000000007</v>
      </c>
      <c r="AY14" s="1482">
        <f>536214.21-'Прочая  субсидия_МР  и  ГО'!AO14</f>
        <v>343507.43999999994</v>
      </c>
      <c r="AZ14" s="495">
        <f t="shared" si="21"/>
        <v>428953.95000000007</v>
      </c>
      <c r="BA14" s="495">
        <f t="shared" si="22"/>
        <v>343507.43999999994</v>
      </c>
      <c r="BB14" s="825">
        <f>[1]Субсидия_факт!JL16</f>
        <v>0</v>
      </c>
      <c r="BC14" s="1173"/>
      <c r="BD14" s="151">
        <f>[1]Субсидия_факт!JP16</f>
        <v>2000000</v>
      </c>
      <c r="BE14" s="718"/>
      <c r="BF14" s="495">
        <f t="shared" si="23"/>
        <v>2000000</v>
      </c>
      <c r="BG14" s="495">
        <f t="shared" si="24"/>
        <v>0</v>
      </c>
      <c r="BH14" s="825">
        <f>[1]Субсидия_факт!JR16</f>
        <v>0</v>
      </c>
      <c r="BI14" s="1173"/>
    </row>
    <row r="15" spans="1:61" s="152" customFormat="1" ht="21" customHeight="1" x14ac:dyDescent="0.25">
      <c r="A15" s="147" t="s">
        <v>86</v>
      </c>
      <c r="B15" s="148">
        <f t="shared" si="1"/>
        <v>8037836.1399999978</v>
      </c>
      <c r="C15" s="148">
        <f t="shared" si="2"/>
        <v>536193.49</v>
      </c>
      <c r="D15" s="495">
        <f t="shared" si="3"/>
        <v>378325.9</v>
      </c>
      <c r="E15" s="495">
        <f t="shared" si="4"/>
        <v>264633.49</v>
      </c>
      <c r="F15" s="495">
        <f t="shared" si="5"/>
        <v>7659510.2400000002</v>
      </c>
      <c r="G15" s="495">
        <f t="shared" si="6"/>
        <v>271560</v>
      </c>
      <c r="H15" s="151">
        <f>[1]Субсидия_факт!EF17</f>
        <v>0</v>
      </c>
      <c r="I15" s="718"/>
      <c r="J15" s="495">
        <f t="shared" si="7"/>
        <v>0</v>
      </c>
      <c r="K15" s="495">
        <f t="shared" si="8"/>
        <v>0</v>
      </c>
      <c r="L15" s="825">
        <f>[1]Субсидия_факт!EH17</f>
        <v>0</v>
      </c>
      <c r="M15" s="1173"/>
      <c r="N15" s="151">
        <f>[1]Субсидия_факт!ER17</f>
        <v>0</v>
      </c>
      <c r="O15" s="718"/>
      <c r="P15" s="495">
        <f t="shared" si="9"/>
        <v>0</v>
      </c>
      <c r="Q15" s="495">
        <f t="shared" si="10"/>
        <v>0</v>
      </c>
      <c r="R15" s="825">
        <f>[1]Субсидия_факт!ET17</f>
        <v>0</v>
      </c>
      <c r="S15" s="1173"/>
      <c r="T15" s="151">
        <f>[1]Субсидия_факт!FF17</f>
        <v>0</v>
      </c>
      <c r="U15" s="718"/>
      <c r="V15" s="495">
        <f t="shared" si="11"/>
        <v>0</v>
      </c>
      <c r="W15" s="495">
        <f t="shared" si="12"/>
        <v>0</v>
      </c>
      <c r="X15" s="825">
        <f>[1]Субсидия_факт!FH17</f>
        <v>0</v>
      </c>
      <c r="Y15" s="1173"/>
      <c r="Z15" s="151">
        <f>[1]Субсидия_факт!GJ17</f>
        <v>0</v>
      </c>
      <c r="AA15" s="718"/>
      <c r="AB15" s="495">
        <f t="shared" si="13"/>
        <v>0</v>
      </c>
      <c r="AC15" s="495">
        <f t="shared" si="14"/>
        <v>0</v>
      </c>
      <c r="AD15" s="825">
        <f>[1]Субсидия_факт!GL17</f>
        <v>0</v>
      </c>
      <c r="AE15" s="1173"/>
      <c r="AF15" s="151">
        <f>[1]Субсидия_факт!GR17</f>
        <v>5393999.9999999981</v>
      </c>
      <c r="AG15" s="1482">
        <f>4395965.05-'Прочая  субсидия_МР  и  ГО'!AA15</f>
        <v>271560</v>
      </c>
      <c r="AH15" s="495">
        <f t="shared" si="15"/>
        <v>0</v>
      </c>
      <c r="AI15" s="495">
        <f t="shared" si="16"/>
        <v>0</v>
      </c>
      <c r="AJ15" s="825">
        <f>[1]Субсидия_факт!GT17</f>
        <v>5394000</v>
      </c>
      <c r="AK15" s="1507">
        <f>AG15</f>
        <v>271560</v>
      </c>
      <c r="AL15" s="151">
        <f>[1]Субсидия_факт!IJ17</f>
        <v>0</v>
      </c>
      <c r="AM15" s="718"/>
      <c r="AN15" s="495">
        <f t="shared" si="17"/>
        <v>0</v>
      </c>
      <c r="AO15" s="495">
        <f t="shared" si="18"/>
        <v>0</v>
      </c>
      <c r="AP15" s="825">
        <f>[1]Субсидия_факт!IL17</f>
        <v>0</v>
      </c>
      <c r="AQ15" s="1173"/>
      <c r="AR15" s="151">
        <f>[1]Субсидия_факт!IP17</f>
        <v>0</v>
      </c>
      <c r="AS15" s="718"/>
      <c r="AT15" s="495">
        <f t="shared" si="19"/>
        <v>0</v>
      </c>
      <c r="AU15" s="495">
        <f t="shared" si="20"/>
        <v>0</v>
      </c>
      <c r="AV15" s="825">
        <f>[1]Субсидия_факт!IR17</f>
        <v>0</v>
      </c>
      <c r="AW15" s="1173"/>
      <c r="AX15" s="151">
        <f>[1]Субсидия_факт!JJ17</f>
        <v>443836.14</v>
      </c>
      <c r="AY15" s="1482">
        <f>278971.57-'Прочая  субсидия_МР  и  ГО'!AO15</f>
        <v>264633.49</v>
      </c>
      <c r="AZ15" s="495">
        <f t="shared" si="21"/>
        <v>378325.9</v>
      </c>
      <c r="BA15" s="495">
        <f t="shared" si="22"/>
        <v>264633.49</v>
      </c>
      <c r="BB15" s="825">
        <f>[1]Субсидия_факт!JL17</f>
        <v>65510.239999999998</v>
      </c>
      <c r="BC15" s="1173">
        <v>0</v>
      </c>
      <c r="BD15" s="151">
        <f>[1]Субсидия_факт!JP17</f>
        <v>2200000</v>
      </c>
      <c r="BE15" s="718"/>
      <c r="BF15" s="495">
        <f t="shared" si="23"/>
        <v>0</v>
      </c>
      <c r="BG15" s="495">
        <f t="shared" si="24"/>
        <v>0</v>
      </c>
      <c r="BH15" s="825">
        <f>[1]Субсидия_факт!JR17</f>
        <v>2200000</v>
      </c>
      <c r="BI15" s="1173"/>
    </row>
    <row r="16" spans="1:61" s="152" customFormat="1" ht="21" customHeight="1" x14ac:dyDescent="0.25">
      <c r="A16" s="147" t="s">
        <v>87</v>
      </c>
      <c r="B16" s="148">
        <f t="shared" si="1"/>
        <v>2808058.48</v>
      </c>
      <c r="C16" s="148">
        <f t="shared" si="2"/>
        <v>613895.17000000004</v>
      </c>
      <c r="D16" s="495">
        <f t="shared" si="3"/>
        <v>2808058.48</v>
      </c>
      <c r="E16" s="495">
        <f t="shared" si="4"/>
        <v>613895.17000000004</v>
      </c>
      <c r="F16" s="495">
        <f t="shared" si="5"/>
        <v>0</v>
      </c>
      <c r="G16" s="495">
        <f t="shared" si="6"/>
        <v>0</v>
      </c>
      <c r="H16" s="151">
        <f>[1]Субсидия_факт!EF18</f>
        <v>0</v>
      </c>
      <c r="I16" s="718"/>
      <c r="J16" s="495">
        <f t="shared" si="7"/>
        <v>0</v>
      </c>
      <c r="K16" s="495">
        <f t="shared" si="8"/>
        <v>0</v>
      </c>
      <c r="L16" s="825">
        <f>[1]Субсидия_факт!EH18</f>
        <v>0</v>
      </c>
      <c r="M16" s="1173"/>
      <c r="N16" s="151">
        <f>[1]Субсидия_факт!ER18</f>
        <v>0</v>
      </c>
      <c r="O16" s="718"/>
      <c r="P16" s="495">
        <f t="shared" si="9"/>
        <v>0</v>
      </c>
      <c r="Q16" s="495">
        <f t="shared" si="10"/>
        <v>0</v>
      </c>
      <c r="R16" s="825">
        <f>[1]Субсидия_факт!ET18</f>
        <v>0</v>
      </c>
      <c r="S16" s="1173"/>
      <c r="T16" s="151">
        <f>[1]Субсидия_факт!FF18</f>
        <v>0</v>
      </c>
      <c r="U16" s="718"/>
      <c r="V16" s="495">
        <f t="shared" si="11"/>
        <v>0</v>
      </c>
      <c r="W16" s="495">
        <f t="shared" si="12"/>
        <v>0</v>
      </c>
      <c r="X16" s="825">
        <f>[1]Субсидия_факт!FH18</f>
        <v>0</v>
      </c>
      <c r="Y16" s="1173"/>
      <c r="Z16" s="151">
        <f>[1]Субсидия_факт!GJ18</f>
        <v>0</v>
      </c>
      <c r="AA16" s="718"/>
      <c r="AB16" s="495">
        <f t="shared" si="13"/>
        <v>0</v>
      </c>
      <c r="AC16" s="495">
        <f t="shared" si="14"/>
        <v>0</v>
      </c>
      <c r="AD16" s="825">
        <f>[1]Субсидия_факт!GL18</f>
        <v>0</v>
      </c>
      <c r="AE16" s="1173"/>
      <c r="AF16" s="151">
        <f>[1]Субсидия_факт!GR18</f>
        <v>950000</v>
      </c>
      <c r="AG16" s="1482">
        <f>1556000-'Прочая  субсидия_МР  и  ГО'!AA16</f>
        <v>176000</v>
      </c>
      <c r="AH16" s="495">
        <f t="shared" si="15"/>
        <v>950000</v>
      </c>
      <c r="AI16" s="495">
        <f t="shared" si="16"/>
        <v>176000</v>
      </c>
      <c r="AJ16" s="825">
        <f>[1]Субсидия_факт!GT18</f>
        <v>0</v>
      </c>
      <c r="AK16" s="1173"/>
      <c r="AL16" s="151">
        <f>[1]Субсидия_факт!IJ18</f>
        <v>0</v>
      </c>
      <c r="AM16" s="718"/>
      <c r="AN16" s="495">
        <f t="shared" si="17"/>
        <v>0</v>
      </c>
      <c r="AO16" s="495">
        <f t="shared" si="18"/>
        <v>0</v>
      </c>
      <c r="AP16" s="825">
        <f>[1]Субсидия_факт!IL18</f>
        <v>0</v>
      </c>
      <c r="AQ16" s="1173"/>
      <c r="AR16" s="151">
        <f>[1]Субсидия_факт!IP18</f>
        <v>0</v>
      </c>
      <c r="AS16" s="718"/>
      <c r="AT16" s="495">
        <f t="shared" si="19"/>
        <v>0</v>
      </c>
      <c r="AU16" s="495">
        <f t="shared" si="20"/>
        <v>0</v>
      </c>
      <c r="AV16" s="825">
        <f>[1]Субсидия_факт!IR18</f>
        <v>0</v>
      </c>
      <c r="AW16" s="1173"/>
      <c r="AX16" s="151">
        <f>[1]Субсидия_факт!JJ18</f>
        <v>558058.48</v>
      </c>
      <c r="AY16" s="1482">
        <f>501090.52-'Прочая  субсидия_МР  и  ГО'!AO16</f>
        <v>437895.17000000004</v>
      </c>
      <c r="AZ16" s="495">
        <f t="shared" si="21"/>
        <v>558058.48</v>
      </c>
      <c r="BA16" s="495">
        <f t="shared" si="22"/>
        <v>437895.17000000004</v>
      </c>
      <c r="BB16" s="825">
        <f>[1]Субсидия_факт!JL18</f>
        <v>0</v>
      </c>
      <c r="BC16" s="1173"/>
      <c r="BD16" s="151">
        <f>[1]Субсидия_факт!JP18</f>
        <v>1300000</v>
      </c>
      <c r="BE16" s="718"/>
      <c r="BF16" s="495">
        <f t="shared" si="23"/>
        <v>1300000</v>
      </c>
      <c r="BG16" s="495">
        <f t="shared" si="24"/>
        <v>0</v>
      </c>
      <c r="BH16" s="825">
        <f>[1]Субсидия_факт!JR18</f>
        <v>0</v>
      </c>
      <c r="BI16" s="1173"/>
    </row>
    <row r="17" spans="1:61" s="152" customFormat="1" ht="21" customHeight="1" x14ac:dyDescent="0.25">
      <c r="A17" s="147" t="s">
        <v>88</v>
      </c>
      <c r="B17" s="148">
        <f t="shared" si="1"/>
        <v>4907918.9000000004</v>
      </c>
      <c r="C17" s="148">
        <f t="shared" si="2"/>
        <v>1240744.58</v>
      </c>
      <c r="D17" s="495">
        <f t="shared" si="3"/>
        <v>4907918.9000000004</v>
      </c>
      <c r="E17" s="495">
        <f t="shared" si="4"/>
        <v>1240744.58</v>
      </c>
      <c r="F17" s="495">
        <f t="shared" si="5"/>
        <v>0</v>
      </c>
      <c r="G17" s="495">
        <f t="shared" si="6"/>
        <v>0</v>
      </c>
      <c r="H17" s="151">
        <f>[1]Субсидия_факт!EF19</f>
        <v>3129.2199999999993</v>
      </c>
      <c r="I17" s="884">
        <f t="shared" ref="I17:I18" si="25">H17</f>
        <v>3129.2199999999993</v>
      </c>
      <c r="J17" s="495">
        <f t="shared" si="7"/>
        <v>3129.2199999999993</v>
      </c>
      <c r="K17" s="495">
        <f t="shared" si="8"/>
        <v>3129.2199999999993</v>
      </c>
      <c r="L17" s="825">
        <f>[1]Субсидия_факт!EH19</f>
        <v>0</v>
      </c>
      <c r="M17" s="1173"/>
      <c r="N17" s="151">
        <f>[1]Субсидия_факт!ER19</f>
        <v>0</v>
      </c>
      <c r="O17" s="718"/>
      <c r="P17" s="495">
        <f t="shared" si="9"/>
        <v>0</v>
      </c>
      <c r="Q17" s="495">
        <f t="shared" si="10"/>
        <v>0</v>
      </c>
      <c r="R17" s="825">
        <f>[1]Субсидия_факт!ET19</f>
        <v>0</v>
      </c>
      <c r="S17" s="1173"/>
      <c r="T17" s="151">
        <f>[1]Субсидия_факт!FF19</f>
        <v>0</v>
      </c>
      <c r="U17" s="718"/>
      <c r="V17" s="495">
        <f t="shared" si="11"/>
        <v>0</v>
      </c>
      <c r="W17" s="495">
        <f t="shared" si="12"/>
        <v>0</v>
      </c>
      <c r="X17" s="825">
        <f>[1]Субсидия_факт!FH19</f>
        <v>0</v>
      </c>
      <c r="Y17" s="1173"/>
      <c r="Z17" s="151">
        <f>[1]Субсидия_факт!GJ19</f>
        <v>0</v>
      </c>
      <c r="AA17" s="718"/>
      <c r="AB17" s="495">
        <f t="shared" si="13"/>
        <v>0</v>
      </c>
      <c r="AC17" s="495">
        <f t="shared" si="14"/>
        <v>0</v>
      </c>
      <c r="AD17" s="825">
        <f>[1]Субсидия_факт!GL19</f>
        <v>0</v>
      </c>
      <c r="AE17" s="1173"/>
      <c r="AF17" s="151">
        <f>[1]Субсидия_факт!GR19</f>
        <v>3376064.45</v>
      </c>
      <c r="AG17" s="1482">
        <f>1230753.71-'Прочая  субсидия_МР  и  ГО'!AA17</f>
        <v>1064542.23</v>
      </c>
      <c r="AH17" s="495">
        <f t="shared" si="15"/>
        <v>3376064.45</v>
      </c>
      <c r="AI17" s="495">
        <f t="shared" si="16"/>
        <v>1064542.23</v>
      </c>
      <c r="AJ17" s="825">
        <f>[1]Субсидия_факт!GT19</f>
        <v>0</v>
      </c>
      <c r="AK17" s="1173"/>
      <c r="AL17" s="151">
        <f>[1]Субсидия_факт!IJ19</f>
        <v>0</v>
      </c>
      <c r="AM17" s="718"/>
      <c r="AN17" s="495">
        <f t="shared" si="17"/>
        <v>0</v>
      </c>
      <c r="AO17" s="495">
        <f t="shared" si="18"/>
        <v>0</v>
      </c>
      <c r="AP17" s="825">
        <f>[1]Субсидия_факт!IL19</f>
        <v>0</v>
      </c>
      <c r="AQ17" s="1173"/>
      <c r="AR17" s="151">
        <f>[1]Субсидия_факт!IP19</f>
        <v>0</v>
      </c>
      <c r="AS17" s="718"/>
      <c r="AT17" s="495">
        <f t="shared" si="19"/>
        <v>0</v>
      </c>
      <c r="AU17" s="495">
        <f t="shared" si="20"/>
        <v>0</v>
      </c>
      <c r="AV17" s="825">
        <f>[1]Субсидия_факт!IR19</f>
        <v>0</v>
      </c>
      <c r="AW17" s="1173"/>
      <c r="AX17" s="151">
        <f>[1]Субсидия_факт!JJ19</f>
        <v>228725.22999999998</v>
      </c>
      <c r="AY17" s="1482">
        <f>364280.96-'Прочая  субсидия_МР  и  ГО'!AO17</f>
        <v>173073.13000000003</v>
      </c>
      <c r="AZ17" s="495">
        <f t="shared" si="21"/>
        <v>228725.22999999998</v>
      </c>
      <c r="BA17" s="495">
        <f t="shared" si="22"/>
        <v>173073.13000000003</v>
      </c>
      <c r="BB17" s="825">
        <f>[1]Субсидия_факт!JL19</f>
        <v>0</v>
      </c>
      <c r="BC17" s="1173"/>
      <c r="BD17" s="151">
        <f>[1]Субсидия_факт!JP19</f>
        <v>1300000</v>
      </c>
      <c r="BE17" s="718"/>
      <c r="BF17" s="495">
        <f t="shared" si="23"/>
        <v>1300000</v>
      </c>
      <c r="BG17" s="495">
        <f t="shared" si="24"/>
        <v>0</v>
      </c>
      <c r="BH17" s="825">
        <f>[1]Субсидия_факт!JR19</f>
        <v>0</v>
      </c>
      <c r="BI17" s="1173"/>
    </row>
    <row r="18" spans="1:61" s="152" customFormat="1" ht="21" customHeight="1" x14ac:dyDescent="0.25">
      <c r="A18" s="147" t="s">
        <v>89</v>
      </c>
      <c r="B18" s="148">
        <f t="shared" si="1"/>
        <v>17747575.68</v>
      </c>
      <c r="C18" s="148">
        <f t="shared" si="2"/>
        <v>14712434.16</v>
      </c>
      <c r="D18" s="495">
        <f t="shared" si="3"/>
        <v>2918663.79</v>
      </c>
      <c r="E18" s="495">
        <f t="shared" si="4"/>
        <v>283435.40999999997</v>
      </c>
      <c r="F18" s="495">
        <f t="shared" si="5"/>
        <v>14828911.890000001</v>
      </c>
      <c r="G18" s="495">
        <f t="shared" si="6"/>
        <v>14428998.75</v>
      </c>
      <c r="H18" s="151">
        <f>[1]Субсидия_факт!EF20</f>
        <v>25301.409999999996</v>
      </c>
      <c r="I18" s="884">
        <f t="shared" si="25"/>
        <v>25301.409999999996</v>
      </c>
      <c r="J18" s="495">
        <f t="shared" si="7"/>
        <v>5301.4099999999962</v>
      </c>
      <c r="K18" s="495">
        <f t="shared" si="8"/>
        <v>5301.4099999999962</v>
      </c>
      <c r="L18" s="825">
        <f>[1]Субсидия_факт!EH20</f>
        <v>20000</v>
      </c>
      <c r="M18" s="1507">
        <f>L18</f>
        <v>20000</v>
      </c>
      <c r="N18" s="151">
        <f>[1]Субсидия_факт!ER20</f>
        <v>0</v>
      </c>
      <c r="O18" s="718"/>
      <c r="P18" s="495">
        <f t="shared" si="9"/>
        <v>0</v>
      </c>
      <c r="Q18" s="495">
        <f t="shared" si="10"/>
        <v>0</v>
      </c>
      <c r="R18" s="825">
        <f>[1]Субсидия_факт!ET20</f>
        <v>0</v>
      </c>
      <c r="S18" s="1173"/>
      <c r="T18" s="151">
        <f>[1]Субсидия_факт!FF20</f>
        <v>0</v>
      </c>
      <c r="U18" s="718"/>
      <c r="V18" s="495">
        <f t="shared" si="11"/>
        <v>0</v>
      </c>
      <c r="W18" s="495">
        <f t="shared" si="12"/>
        <v>0</v>
      </c>
      <c r="X18" s="825">
        <f>[1]Субсидия_факт!FH20</f>
        <v>0</v>
      </c>
      <c r="Y18" s="1173"/>
      <c r="Z18" s="151">
        <f>[1]Субсидия_факт!GJ20</f>
        <v>0</v>
      </c>
      <c r="AA18" s="718"/>
      <c r="AB18" s="495">
        <f t="shared" si="13"/>
        <v>0</v>
      </c>
      <c r="AC18" s="495">
        <f t="shared" si="14"/>
        <v>0</v>
      </c>
      <c r="AD18" s="825">
        <f>[1]Субсидия_факт!GL20</f>
        <v>0</v>
      </c>
      <c r="AE18" s="1173"/>
      <c r="AF18" s="151">
        <f>[1]Субсидия_факт!GR20</f>
        <v>14800000</v>
      </c>
      <c r="AG18" s="1482">
        <f>14408998.75-'Прочая  субсидия_МР  и  ГО'!AA18</f>
        <v>14408998.75</v>
      </c>
      <c r="AH18" s="495">
        <f t="shared" si="15"/>
        <v>0</v>
      </c>
      <c r="AI18" s="495">
        <f t="shared" si="16"/>
        <v>0</v>
      </c>
      <c r="AJ18" s="825">
        <f>[1]Субсидия_факт!GT20</f>
        <v>14800000</v>
      </c>
      <c r="AK18" s="1507">
        <f>AG18</f>
        <v>14408998.75</v>
      </c>
      <c r="AL18" s="151">
        <f>[1]Субсидия_факт!IJ20</f>
        <v>0</v>
      </c>
      <c r="AM18" s="718"/>
      <c r="AN18" s="495">
        <f t="shared" si="17"/>
        <v>0</v>
      </c>
      <c r="AO18" s="495">
        <f t="shared" si="18"/>
        <v>0</v>
      </c>
      <c r="AP18" s="825">
        <f>[1]Субсидия_факт!IL20</f>
        <v>0</v>
      </c>
      <c r="AQ18" s="1173"/>
      <c r="AR18" s="151">
        <f>[1]Субсидия_факт!IP20</f>
        <v>0</v>
      </c>
      <c r="AS18" s="718"/>
      <c r="AT18" s="495">
        <f t="shared" si="19"/>
        <v>0</v>
      </c>
      <c r="AU18" s="495">
        <f t="shared" si="20"/>
        <v>0</v>
      </c>
      <c r="AV18" s="825">
        <f>[1]Субсидия_факт!IR20</f>
        <v>0</v>
      </c>
      <c r="AW18" s="1173"/>
      <c r="AX18" s="151">
        <f>[1]Субсидия_факт!JJ20</f>
        <v>422274.26999999996</v>
      </c>
      <c r="AY18" s="1482">
        <f>465366.3-'Прочая  субсидия_МР  и  ГО'!AO18</f>
        <v>278134</v>
      </c>
      <c r="AZ18" s="495">
        <f t="shared" si="21"/>
        <v>413362.37999999995</v>
      </c>
      <c r="BA18" s="495">
        <f t="shared" si="22"/>
        <v>278134</v>
      </c>
      <c r="BB18" s="825">
        <f>[1]Субсидия_факт!JL20</f>
        <v>8911.89</v>
      </c>
      <c r="BC18" s="1173">
        <v>0</v>
      </c>
      <c r="BD18" s="151">
        <f>[1]Субсидия_факт!JP20</f>
        <v>2500000</v>
      </c>
      <c r="BE18" s="718"/>
      <c r="BF18" s="495">
        <f t="shared" si="23"/>
        <v>2500000</v>
      </c>
      <c r="BG18" s="495">
        <f t="shared" si="24"/>
        <v>0</v>
      </c>
      <c r="BH18" s="825">
        <f>[1]Субсидия_факт!JR20</f>
        <v>0</v>
      </c>
      <c r="BI18" s="1173"/>
    </row>
    <row r="19" spans="1:61" s="152" customFormat="1" ht="21" customHeight="1" x14ac:dyDescent="0.25">
      <c r="A19" s="147" t="s">
        <v>90</v>
      </c>
      <c r="B19" s="148">
        <f t="shared" si="1"/>
        <v>5755714</v>
      </c>
      <c r="C19" s="148">
        <f t="shared" si="2"/>
        <v>790789.84</v>
      </c>
      <c r="D19" s="495">
        <f t="shared" si="3"/>
        <v>5755714</v>
      </c>
      <c r="E19" s="495">
        <f t="shared" si="4"/>
        <v>790789.84</v>
      </c>
      <c r="F19" s="495">
        <f t="shared" si="5"/>
        <v>0</v>
      </c>
      <c r="G19" s="495">
        <f t="shared" si="6"/>
        <v>0</v>
      </c>
      <c r="H19" s="151">
        <f>[1]Субсидия_факт!EF21</f>
        <v>7276.5200000000013</v>
      </c>
      <c r="I19" s="884">
        <f>H19</f>
        <v>7276.5200000000013</v>
      </c>
      <c r="J19" s="495">
        <f t="shared" si="7"/>
        <v>7276.5200000000013</v>
      </c>
      <c r="K19" s="495">
        <f t="shared" si="8"/>
        <v>7276.5200000000013</v>
      </c>
      <c r="L19" s="825">
        <f>[1]Субсидия_факт!EH21</f>
        <v>0</v>
      </c>
      <c r="M19" s="1173"/>
      <c r="N19" s="151">
        <f>[1]Субсидия_факт!ER21</f>
        <v>0</v>
      </c>
      <c r="O19" s="718"/>
      <c r="P19" s="495">
        <f t="shared" si="9"/>
        <v>0</v>
      </c>
      <c r="Q19" s="495">
        <f t="shared" si="10"/>
        <v>0</v>
      </c>
      <c r="R19" s="825">
        <f>[1]Субсидия_факт!ET21</f>
        <v>0</v>
      </c>
      <c r="S19" s="1173"/>
      <c r="T19" s="151">
        <f>[1]Субсидия_факт!FF21</f>
        <v>0</v>
      </c>
      <c r="U19" s="718"/>
      <c r="V19" s="495">
        <f t="shared" si="11"/>
        <v>0</v>
      </c>
      <c r="W19" s="495">
        <f t="shared" si="12"/>
        <v>0</v>
      </c>
      <c r="X19" s="825">
        <f>[1]Субсидия_факт!FH21</f>
        <v>0</v>
      </c>
      <c r="Y19" s="1173"/>
      <c r="Z19" s="151">
        <f>[1]Субсидия_факт!GJ21</f>
        <v>0</v>
      </c>
      <c r="AA19" s="718"/>
      <c r="AB19" s="495">
        <f t="shared" si="13"/>
        <v>0</v>
      </c>
      <c r="AC19" s="495">
        <f t="shared" si="14"/>
        <v>0</v>
      </c>
      <c r="AD19" s="825">
        <f>[1]Субсидия_факт!GL21</f>
        <v>0</v>
      </c>
      <c r="AE19" s="1173"/>
      <c r="AF19" s="151">
        <f>[1]Субсидия_факт!GR21</f>
        <v>4003167.17</v>
      </c>
      <c r="AG19" s="1482">
        <f>971800-'Прочая  субсидия_МР  и  ГО'!AA19</f>
        <v>379600</v>
      </c>
      <c r="AH19" s="495">
        <f t="shared" si="15"/>
        <v>4003167.17</v>
      </c>
      <c r="AI19" s="495">
        <f t="shared" si="16"/>
        <v>379600</v>
      </c>
      <c r="AJ19" s="825">
        <f>[1]Субсидия_факт!GT21</f>
        <v>0</v>
      </c>
      <c r="AK19" s="1173"/>
      <c r="AL19" s="151">
        <f>[1]Субсидия_факт!IJ21</f>
        <v>0</v>
      </c>
      <c r="AM19" s="718"/>
      <c r="AN19" s="495">
        <f t="shared" si="17"/>
        <v>0</v>
      </c>
      <c r="AO19" s="495">
        <f t="shared" si="18"/>
        <v>0</v>
      </c>
      <c r="AP19" s="825">
        <f>[1]Субсидия_факт!IL21</f>
        <v>0</v>
      </c>
      <c r="AQ19" s="1173"/>
      <c r="AR19" s="151">
        <f>[1]Субсидия_факт!IP21</f>
        <v>0</v>
      </c>
      <c r="AS19" s="718"/>
      <c r="AT19" s="495">
        <f t="shared" si="19"/>
        <v>0</v>
      </c>
      <c r="AU19" s="495">
        <f t="shared" si="20"/>
        <v>0</v>
      </c>
      <c r="AV19" s="825">
        <f>[1]Субсидия_факт!IR21</f>
        <v>0</v>
      </c>
      <c r="AW19" s="1173"/>
      <c r="AX19" s="151">
        <f>[1]Субсидия_факт!JJ21</f>
        <v>445270.31</v>
      </c>
      <c r="AY19" s="1482">
        <f>544981.33-'Прочая  субсидия_МР  и  ГО'!AO19</f>
        <v>403913.31999999995</v>
      </c>
      <c r="AZ19" s="495">
        <f t="shared" si="21"/>
        <v>445270.31</v>
      </c>
      <c r="BA19" s="495">
        <f t="shared" si="22"/>
        <v>403913.31999999995</v>
      </c>
      <c r="BB19" s="825">
        <f>[1]Субсидия_факт!JL21</f>
        <v>0</v>
      </c>
      <c r="BC19" s="1173"/>
      <c r="BD19" s="151">
        <f>[1]Субсидия_факт!JP21</f>
        <v>1300000</v>
      </c>
      <c r="BE19" s="718"/>
      <c r="BF19" s="495">
        <f t="shared" si="23"/>
        <v>1300000</v>
      </c>
      <c r="BG19" s="495">
        <f t="shared" si="24"/>
        <v>0</v>
      </c>
      <c r="BH19" s="825">
        <f>[1]Субсидия_факт!JR21</f>
        <v>0</v>
      </c>
      <c r="BI19" s="1173"/>
    </row>
    <row r="20" spans="1:61" s="152" customFormat="1" ht="21" customHeight="1" x14ac:dyDescent="0.25">
      <c r="A20" s="147" t="s">
        <v>91</v>
      </c>
      <c r="B20" s="148">
        <f t="shared" si="1"/>
        <v>6006713.3899999997</v>
      </c>
      <c r="C20" s="148">
        <f t="shared" si="2"/>
        <v>1983799.79</v>
      </c>
      <c r="D20" s="495">
        <f t="shared" si="3"/>
        <v>6006713.3899999997</v>
      </c>
      <c r="E20" s="495">
        <f t="shared" si="4"/>
        <v>1983799.79</v>
      </c>
      <c r="F20" s="495">
        <f t="shared" si="5"/>
        <v>0</v>
      </c>
      <c r="G20" s="495">
        <f t="shared" si="6"/>
        <v>0</v>
      </c>
      <c r="H20" s="151">
        <f>[1]Субсидия_факт!EF22</f>
        <v>0</v>
      </c>
      <c r="I20" s="718"/>
      <c r="J20" s="495">
        <f t="shared" si="7"/>
        <v>0</v>
      </c>
      <c r="K20" s="495">
        <f t="shared" si="8"/>
        <v>0</v>
      </c>
      <c r="L20" s="825">
        <f>[1]Субсидия_факт!EH22</f>
        <v>0</v>
      </c>
      <c r="M20" s="1173"/>
      <c r="N20" s="151">
        <f>[1]Субсидия_факт!ER22</f>
        <v>0</v>
      </c>
      <c r="O20" s="718"/>
      <c r="P20" s="495">
        <f t="shared" si="9"/>
        <v>0</v>
      </c>
      <c r="Q20" s="495">
        <f t="shared" si="10"/>
        <v>0</v>
      </c>
      <c r="R20" s="825">
        <f>[1]Субсидия_факт!ET22</f>
        <v>0</v>
      </c>
      <c r="S20" s="1173"/>
      <c r="T20" s="151">
        <f>[1]Субсидия_факт!FF22</f>
        <v>0</v>
      </c>
      <c r="U20" s="718"/>
      <c r="V20" s="495">
        <f t="shared" si="11"/>
        <v>0</v>
      </c>
      <c r="W20" s="495">
        <f t="shared" si="12"/>
        <v>0</v>
      </c>
      <c r="X20" s="825">
        <f>[1]Субсидия_факт!FH22</f>
        <v>0</v>
      </c>
      <c r="Y20" s="1173"/>
      <c r="Z20" s="151">
        <f>[1]Субсидия_факт!GJ22</f>
        <v>0</v>
      </c>
      <c r="AA20" s="718"/>
      <c r="AB20" s="495">
        <f t="shared" si="13"/>
        <v>0</v>
      </c>
      <c r="AC20" s="495">
        <f t="shared" si="14"/>
        <v>0</v>
      </c>
      <c r="AD20" s="825">
        <f>[1]Субсидия_факт!GL22</f>
        <v>0</v>
      </c>
      <c r="AE20" s="1173"/>
      <c r="AF20" s="151">
        <f>[1]Субсидия_факт!GR22</f>
        <v>2033693.4</v>
      </c>
      <c r="AG20" s="1482">
        <f>1648090.73-'Прочая  субсидия_МР  и  ГО'!AA20</f>
        <v>1648090.73</v>
      </c>
      <c r="AH20" s="495">
        <f t="shared" si="15"/>
        <v>2033693.4</v>
      </c>
      <c r="AI20" s="495">
        <f t="shared" si="16"/>
        <v>1648090.73</v>
      </c>
      <c r="AJ20" s="825">
        <f>[1]Субсидия_факт!GT22</f>
        <v>0</v>
      </c>
      <c r="AK20" s="1173"/>
      <c r="AL20" s="151">
        <f>[1]Субсидия_факт!IJ22</f>
        <v>0</v>
      </c>
      <c r="AM20" s="718"/>
      <c r="AN20" s="495">
        <f t="shared" si="17"/>
        <v>0</v>
      </c>
      <c r="AO20" s="495">
        <f t="shared" si="18"/>
        <v>0</v>
      </c>
      <c r="AP20" s="825">
        <f>[1]Субсидия_факт!IL22</f>
        <v>0</v>
      </c>
      <c r="AQ20" s="1173"/>
      <c r="AR20" s="151">
        <f>[1]Субсидия_факт!IP22</f>
        <v>0</v>
      </c>
      <c r="AS20" s="718"/>
      <c r="AT20" s="495">
        <f t="shared" si="19"/>
        <v>0</v>
      </c>
      <c r="AU20" s="495">
        <f t="shared" si="20"/>
        <v>0</v>
      </c>
      <c r="AV20" s="825">
        <f>[1]Субсидия_факт!IR22</f>
        <v>0</v>
      </c>
      <c r="AW20" s="1173"/>
      <c r="AX20" s="151">
        <f>[1]Субсидия_факт!JJ22</f>
        <v>473019.99</v>
      </c>
      <c r="AY20" s="1482">
        <f>417419.54-'Прочая  субсидия_МР  и  ГО'!AO20</f>
        <v>335709.06</v>
      </c>
      <c r="AZ20" s="495">
        <f t="shared" si="21"/>
        <v>473019.99</v>
      </c>
      <c r="BA20" s="495">
        <f t="shared" si="22"/>
        <v>335709.06</v>
      </c>
      <c r="BB20" s="825">
        <f>[1]Субсидия_факт!JL22</f>
        <v>0</v>
      </c>
      <c r="BC20" s="1173"/>
      <c r="BD20" s="151">
        <f>[1]Субсидия_факт!JP22</f>
        <v>3500000</v>
      </c>
      <c r="BE20" s="718"/>
      <c r="BF20" s="495">
        <f t="shared" si="23"/>
        <v>3500000</v>
      </c>
      <c r="BG20" s="495">
        <f t="shared" si="24"/>
        <v>0</v>
      </c>
      <c r="BH20" s="825">
        <f>[1]Субсидия_факт!JR22</f>
        <v>0</v>
      </c>
      <c r="BI20" s="1173"/>
    </row>
    <row r="21" spans="1:61" s="152" customFormat="1" ht="21" customHeight="1" x14ac:dyDescent="0.25">
      <c r="A21" s="147" t="s">
        <v>92</v>
      </c>
      <c r="B21" s="148">
        <f t="shared" si="1"/>
        <v>20196434.41</v>
      </c>
      <c r="C21" s="148">
        <f t="shared" si="2"/>
        <v>374829.86</v>
      </c>
      <c r="D21" s="495">
        <f t="shared" si="3"/>
        <v>20196434.41</v>
      </c>
      <c r="E21" s="495">
        <f t="shared" si="4"/>
        <v>374829.86</v>
      </c>
      <c r="F21" s="495">
        <f t="shared" si="5"/>
        <v>0</v>
      </c>
      <c r="G21" s="495">
        <f t="shared" si="6"/>
        <v>0</v>
      </c>
      <c r="H21" s="151">
        <f>[1]Субсидия_факт!EF23</f>
        <v>0</v>
      </c>
      <c r="I21" s="718"/>
      <c r="J21" s="495">
        <f t="shared" si="7"/>
        <v>0</v>
      </c>
      <c r="K21" s="495">
        <f t="shared" si="8"/>
        <v>0</v>
      </c>
      <c r="L21" s="825">
        <f>[1]Субсидия_факт!EH23</f>
        <v>0</v>
      </c>
      <c r="M21" s="1173"/>
      <c r="N21" s="151">
        <f>[1]Субсидия_факт!ER23</f>
        <v>0</v>
      </c>
      <c r="O21" s="718"/>
      <c r="P21" s="495">
        <f t="shared" si="9"/>
        <v>0</v>
      </c>
      <c r="Q21" s="495">
        <f t="shared" si="10"/>
        <v>0</v>
      </c>
      <c r="R21" s="825">
        <f>[1]Субсидия_факт!ET23</f>
        <v>0</v>
      </c>
      <c r="S21" s="1173"/>
      <c r="T21" s="151">
        <f>[1]Субсидия_факт!FF23</f>
        <v>18325925</v>
      </c>
      <c r="U21" s="718"/>
      <c r="V21" s="495">
        <f t="shared" si="11"/>
        <v>18325925</v>
      </c>
      <c r="W21" s="495">
        <f t="shared" si="12"/>
        <v>0</v>
      </c>
      <c r="X21" s="825">
        <f>[1]Субсидия_факт!FH23</f>
        <v>0</v>
      </c>
      <c r="Y21" s="1173"/>
      <c r="Z21" s="151">
        <f>[1]Субсидия_факт!GJ23</f>
        <v>0</v>
      </c>
      <c r="AA21" s="718"/>
      <c r="AB21" s="495">
        <f t="shared" si="13"/>
        <v>0</v>
      </c>
      <c r="AC21" s="495">
        <f t="shared" si="14"/>
        <v>0</v>
      </c>
      <c r="AD21" s="825">
        <f>[1]Субсидия_факт!GL23</f>
        <v>0</v>
      </c>
      <c r="AE21" s="1173"/>
      <c r="AF21" s="151">
        <f>[1]Субсидия_факт!GR23</f>
        <v>0</v>
      </c>
      <c r="AG21" s="1482">
        <f>381854.31-'Прочая  субсидия_МР  и  ГО'!AA21</f>
        <v>0</v>
      </c>
      <c r="AH21" s="495">
        <f t="shared" si="15"/>
        <v>0</v>
      </c>
      <c r="AI21" s="495">
        <f t="shared" si="16"/>
        <v>0</v>
      </c>
      <c r="AJ21" s="825">
        <f>[1]Субсидия_факт!GT23</f>
        <v>0</v>
      </c>
      <c r="AK21" s="1173"/>
      <c r="AL21" s="151">
        <f>[1]Субсидия_факт!IJ23</f>
        <v>0</v>
      </c>
      <c r="AM21" s="718"/>
      <c r="AN21" s="495">
        <f t="shared" si="17"/>
        <v>0</v>
      </c>
      <c r="AO21" s="495">
        <f t="shared" si="18"/>
        <v>0</v>
      </c>
      <c r="AP21" s="825">
        <f>[1]Субсидия_факт!IL23</f>
        <v>0</v>
      </c>
      <c r="AQ21" s="1173"/>
      <c r="AR21" s="151">
        <f>[1]Субсидия_факт!IP23</f>
        <v>0</v>
      </c>
      <c r="AS21" s="718"/>
      <c r="AT21" s="495">
        <f t="shared" si="19"/>
        <v>0</v>
      </c>
      <c r="AU21" s="495">
        <f t="shared" si="20"/>
        <v>0</v>
      </c>
      <c r="AV21" s="825">
        <f>[1]Субсидия_факт!IR23</f>
        <v>0</v>
      </c>
      <c r="AW21" s="1173"/>
      <c r="AX21" s="151">
        <f>[1]Субсидия_факт!JJ23</f>
        <v>520509.41</v>
      </c>
      <c r="AY21" s="1482">
        <f>572444.4-'Прочая  субсидия_МР  и  ГО'!AO21</f>
        <v>374829.86</v>
      </c>
      <c r="AZ21" s="495">
        <f t="shared" si="21"/>
        <v>520509.41</v>
      </c>
      <c r="BA21" s="495">
        <f t="shared" si="22"/>
        <v>374829.86</v>
      </c>
      <c r="BB21" s="825">
        <f>[1]Субсидия_факт!JL23</f>
        <v>0</v>
      </c>
      <c r="BC21" s="1173"/>
      <c r="BD21" s="151">
        <f>[1]Субсидия_факт!JP23</f>
        <v>1350000</v>
      </c>
      <c r="BE21" s="718"/>
      <c r="BF21" s="495">
        <f t="shared" si="23"/>
        <v>1350000</v>
      </c>
      <c r="BG21" s="495">
        <f t="shared" si="24"/>
        <v>0</v>
      </c>
      <c r="BH21" s="825">
        <f>[1]Субсидия_факт!JR23</f>
        <v>0</v>
      </c>
      <c r="BI21" s="1173"/>
    </row>
    <row r="22" spans="1:61" s="152" customFormat="1" ht="21" customHeight="1" x14ac:dyDescent="0.25">
      <c r="A22" s="147" t="s">
        <v>93</v>
      </c>
      <c r="B22" s="148">
        <f t="shared" si="1"/>
        <v>1343226.85</v>
      </c>
      <c r="C22" s="148">
        <f t="shared" si="2"/>
        <v>237031.12</v>
      </c>
      <c r="D22" s="495">
        <f t="shared" si="3"/>
        <v>1343226.85</v>
      </c>
      <c r="E22" s="495">
        <f t="shared" si="4"/>
        <v>237031.12</v>
      </c>
      <c r="F22" s="495">
        <f t="shared" si="5"/>
        <v>0</v>
      </c>
      <c r="G22" s="495">
        <f t="shared" si="6"/>
        <v>0</v>
      </c>
      <c r="H22" s="151">
        <f>[1]Субсидия_факт!EF24</f>
        <v>0</v>
      </c>
      <c r="I22" s="718"/>
      <c r="J22" s="495">
        <f t="shared" si="7"/>
        <v>0</v>
      </c>
      <c r="K22" s="495">
        <f t="shared" si="8"/>
        <v>0</v>
      </c>
      <c r="L22" s="825">
        <f>[1]Субсидия_факт!EH24</f>
        <v>0</v>
      </c>
      <c r="M22" s="1173"/>
      <c r="N22" s="151">
        <f>[1]Субсидия_факт!ER24</f>
        <v>0</v>
      </c>
      <c r="O22" s="718"/>
      <c r="P22" s="495">
        <f t="shared" si="9"/>
        <v>0</v>
      </c>
      <c r="Q22" s="495">
        <f t="shared" si="10"/>
        <v>0</v>
      </c>
      <c r="R22" s="825">
        <f>[1]Субсидия_факт!ET24</f>
        <v>0</v>
      </c>
      <c r="S22" s="1173"/>
      <c r="T22" s="151">
        <f>[1]Субсидия_факт!FF24</f>
        <v>0</v>
      </c>
      <c r="U22" s="718"/>
      <c r="V22" s="495">
        <f t="shared" si="11"/>
        <v>0</v>
      </c>
      <c r="W22" s="495">
        <f t="shared" si="12"/>
        <v>0</v>
      </c>
      <c r="X22" s="825">
        <f>[1]Субсидия_факт!FH24</f>
        <v>0</v>
      </c>
      <c r="Y22" s="1173"/>
      <c r="Z22" s="151">
        <f>[1]Субсидия_факт!GJ24</f>
        <v>0</v>
      </c>
      <c r="AA22" s="718"/>
      <c r="AB22" s="495">
        <f t="shared" si="13"/>
        <v>0</v>
      </c>
      <c r="AC22" s="495">
        <f t="shared" si="14"/>
        <v>0</v>
      </c>
      <c r="AD22" s="825">
        <f>[1]Субсидия_факт!GL24</f>
        <v>0</v>
      </c>
      <c r="AE22" s="1173"/>
      <c r="AF22" s="151">
        <f>[1]Субсидия_факт!GR24</f>
        <v>0</v>
      </c>
      <c r="AG22" s="1482">
        <f>425441.12-'Прочая  субсидия_МР  и  ГО'!AA22</f>
        <v>0</v>
      </c>
      <c r="AH22" s="495">
        <f t="shared" si="15"/>
        <v>0</v>
      </c>
      <c r="AI22" s="495">
        <f t="shared" si="16"/>
        <v>0</v>
      </c>
      <c r="AJ22" s="825">
        <f>[1]Субсидия_факт!GT24</f>
        <v>0</v>
      </c>
      <c r="AK22" s="1173"/>
      <c r="AL22" s="151">
        <f>[1]Субсидия_факт!IJ24</f>
        <v>0</v>
      </c>
      <c r="AM22" s="718"/>
      <c r="AN22" s="495">
        <f t="shared" si="17"/>
        <v>0</v>
      </c>
      <c r="AO22" s="495">
        <f t="shared" si="18"/>
        <v>0</v>
      </c>
      <c r="AP22" s="825">
        <f>[1]Субсидия_факт!IL24</f>
        <v>0</v>
      </c>
      <c r="AQ22" s="1173"/>
      <c r="AR22" s="151">
        <f>[1]Субсидия_факт!IP24</f>
        <v>0</v>
      </c>
      <c r="AS22" s="718"/>
      <c r="AT22" s="495">
        <f t="shared" si="19"/>
        <v>0</v>
      </c>
      <c r="AU22" s="495">
        <f t="shared" si="20"/>
        <v>0</v>
      </c>
      <c r="AV22" s="825">
        <f>[1]Субсидия_факт!IR24</f>
        <v>0</v>
      </c>
      <c r="AW22" s="1173"/>
      <c r="AX22" s="151">
        <f>[1]Субсидия_факт!JJ24</f>
        <v>343226.85000000009</v>
      </c>
      <c r="AY22" s="1482">
        <f>427981.82-'Прочая  субсидия_МР  и  ГО'!AO22</f>
        <v>237031.12</v>
      </c>
      <c r="AZ22" s="495">
        <f t="shared" si="21"/>
        <v>343226.85000000009</v>
      </c>
      <c r="BA22" s="495">
        <f t="shared" si="22"/>
        <v>237031.12</v>
      </c>
      <c r="BB22" s="825">
        <f>[1]Субсидия_факт!JL24</f>
        <v>0</v>
      </c>
      <c r="BC22" s="1173"/>
      <c r="BD22" s="151">
        <f>[1]Субсидия_факт!JP24</f>
        <v>1000000</v>
      </c>
      <c r="BE22" s="718"/>
      <c r="BF22" s="495">
        <f t="shared" si="23"/>
        <v>1000000</v>
      </c>
      <c r="BG22" s="495">
        <f t="shared" si="24"/>
        <v>0</v>
      </c>
      <c r="BH22" s="825">
        <f>[1]Субсидия_факт!JR24</f>
        <v>0</v>
      </c>
      <c r="BI22" s="1173"/>
    </row>
    <row r="23" spans="1:61" s="152" customFormat="1" ht="21" customHeight="1" x14ac:dyDescent="0.25">
      <c r="A23" s="147" t="s">
        <v>94</v>
      </c>
      <c r="B23" s="148">
        <f t="shared" si="1"/>
        <v>4876415.1199999992</v>
      </c>
      <c r="C23" s="148">
        <f t="shared" si="2"/>
        <v>504533.70000000007</v>
      </c>
      <c r="D23" s="495">
        <f t="shared" si="3"/>
        <v>3877247.31</v>
      </c>
      <c r="E23" s="495">
        <f t="shared" si="4"/>
        <v>319610.27</v>
      </c>
      <c r="F23" s="495">
        <f t="shared" si="5"/>
        <v>999167.81</v>
      </c>
      <c r="G23" s="495">
        <f t="shared" si="6"/>
        <v>184923.43</v>
      </c>
      <c r="H23" s="151">
        <f>[1]Субсидия_факт!EF25</f>
        <v>0</v>
      </c>
      <c r="I23" s="718"/>
      <c r="J23" s="495">
        <f t="shared" si="7"/>
        <v>0</v>
      </c>
      <c r="K23" s="495">
        <f t="shared" si="8"/>
        <v>0</v>
      </c>
      <c r="L23" s="825">
        <f>[1]Субсидия_факт!EH25</f>
        <v>0</v>
      </c>
      <c r="M23" s="1173"/>
      <c r="N23" s="151">
        <f>[1]Субсидия_факт!ER25</f>
        <v>0</v>
      </c>
      <c r="O23" s="718"/>
      <c r="P23" s="495">
        <f t="shared" si="9"/>
        <v>0</v>
      </c>
      <c r="Q23" s="495">
        <f t="shared" si="10"/>
        <v>0</v>
      </c>
      <c r="R23" s="825">
        <f>[1]Субсидия_факт!ET25</f>
        <v>0</v>
      </c>
      <c r="S23" s="1173"/>
      <c r="T23" s="151">
        <f>[1]Субсидия_факт!FF25</f>
        <v>0</v>
      </c>
      <c r="U23" s="718"/>
      <c r="V23" s="495">
        <f t="shared" si="11"/>
        <v>0</v>
      </c>
      <c r="W23" s="495">
        <f t="shared" si="12"/>
        <v>0</v>
      </c>
      <c r="X23" s="825">
        <f>[1]Субсидия_факт!FH25</f>
        <v>0</v>
      </c>
      <c r="Y23" s="1173"/>
      <c r="Z23" s="151">
        <f>[1]Субсидия_факт!GJ25</f>
        <v>98358.27</v>
      </c>
      <c r="AA23" s="884">
        <f>Z23</f>
        <v>98358.27</v>
      </c>
      <c r="AB23" s="495">
        <f t="shared" si="13"/>
        <v>0</v>
      </c>
      <c r="AC23" s="495">
        <f t="shared" si="14"/>
        <v>0</v>
      </c>
      <c r="AD23" s="825">
        <f>[1]Субсидия_факт!GL25</f>
        <v>98358.27</v>
      </c>
      <c r="AE23" s="1507">
        <f>AD23</f>
        <v>98358.27</v>
      </c>
      <c r="AF23" s="151">
        <f>[1]Субсидия_факт!GR25</f>
        <v>750500</v>
      </c>
      <c r="AG23" s="1482">
        <f>0-'Прочая  субсидия_МР  и  ГО'!AA23</f>
        <v>0</v>
      </c>
      <c r="AH23" s="495">
        <f t="shared" si="15"/>
        <v>0</v>
      </c>
      <c r="AI23" s="495">
        <f t="shared" si="16"/>
        <v>0</v>
      </c>
      <c r="AJ23" s="825">
        <f>[1]Субсидия_факт!GT25</f>
        <v>750500</v>
      </c>
      <c r="AK23" s="1173"/>
      <c r="AL23" s="151">
        <f>[1]Субсидия_факт!IJ25</f>
        <v>0</v>
      </c>
      <c r="AM23" s="718"/>
      <c r="AN23" s="495">
        <f t="shared" si="17"/>
        <v>0</v>
      </c>
      <c r="AO23" s="495">
        <f t="shared" si="18"/>
        <v>0</v>
      </c>
      <c r="AP23" s="825">
        <f>[1]Субсидия_факт!IL25</f>
        <v>0</v>
      </c>
      <c r="AQ23" s="1173"/>
      <c r="AR23" s="151">
        <f>[1]Субсидия_факт!IP25</f>
        <v>0</v>
      </c>
      <c r="AS23" s="718"/>
      <c r="AT23" s="495">
        <f t="shared" si="19"/>
        <v>0</v>
      </c>
      <c r="AU23" s="495">
        <f t="shared" si="20"/>
        <v>0</v>
      </c>
      <c r="AV23" s="825">
        <f>[1]Субсидия_факт!IR25</f>
        <v>0</v>
      </c>
      <c r="AW23" s="1173"/>
      <c r="AX23" s="151">
        <f>[1]Субсидия_факт!JJ25</f>
        <v>727556.85000000009</v>
      </c>
      <c r="AY23" s="1482">
        <f>495918.15-'Прочая  субсидия_МР  и  ГО'!AO23</f>
        <v>406175.43000000005</v>
      </c>
      <c r="AZ23" s="495">
        <f t="shared" si="21"/>
        <v>577247.31000000006</v>
      </c>
      <c r="BA23" s="495">
        <f t="shared" si="22"/>
        <v>319610.27</v>
      </c>
      <c r="BB23" s="825">
        <f>[1]Субсидия_факт!JL25</f>
        <v>150309.54</v>
      </c>
      <c r="BC23" s="1173">
        <v>86565.16</v>
      </c>
      <c r="BD23" s="151">
        <f>[1]Субсидия_факт!JP25</f>
        <v>3300000</v>
      </c>
      <c r="BE23" s="718"/>
      <c r="BF23" s="495">
        <f t="shared" si="23"/>
        <v>3300000</v>
      </c>
      <c r="BG23" s="495">
        <f t="shared" si="24"/>
        <v>0</v>
      </c>
      <c r="BH23" s="825">
        <f>[1]Субсидия_факт!JR25</f>
        <v>0</v>
      </c>
      <c r="BI23" s="1173"/>
    </row>
    <row r="24" spans="1:61" s="152" customFormat="1" ht="21" customHeight="1" x14ac:dyDescent="0.25">
      <c r="A24" s="147" t="s">
        <v>95</v>
      </c>
      <c r="B24" s="148">
        <f t="shared" si="1"/>
        <v>2093262.0300000003</v>
      </c>
      <c r="C24" s="148">
        <f t="shared" si="2"/>
        <v>446614.56000000006</v>
      </c>
      <c r="D24" s="495">
        <f t="shared" si="3"/>
        <v>2093262.0300000003</v>
      </c>
      <c r="E24" s="495">
        <f t="shared" si="4"/>
        <v>446614.56000000006</v>
      </c>
      <c r="F24" s="495">
        <f t="shared" si="5"/>
        <v>0</v>
      </c>
      <c r="G24" s="495">
        <f t="shared" si="6"/>
        <v>0</v>
      </c>
      <c r="H24" s="151">
        <f>[1]Субсидия_факт!EF26</f>
        <v>0</v>
      </c>
      <c r="I24" s="718"/>
      <c r="J24" s="495">
        <f t="shared" si="7"/>
        <v>0</v>
      </c>
      <c r="K24" s="495">
        <f t="shared" si="8"/>
        <v>0</v>
      </c>
      <c r="L24" s="825">
        <f>[1]Субсидия_факт!EH26</f>
        <v>0</v>
      </c>
      <c r="M24" s="1173"/>
      <c r="N24" s="151">
        <f>[1]Субсидия_факт!ER26</f>
        <v>0</v>
      </c>
      <c r="O24" s="718"/>
      <c r="P24" s="495">
        <f t="shared" si="9"/>
        <v>0</v>
      </c>
      <c r="Q24" s="495">
        <f t="shared" si="10"/>
        <v>0</v>
      </c>
      <c r="R24" s="825">
        <f>[1]Субсидия_факт!ET26</f>
        <v>0</v>
      </c>
      <c r="S24" s="1173"/>
      <c r="T24" s="151">
        <f>[1]Субсидия_факт!FF26</f>
        <v>0</v>
      </c>
      <c r="U24" s="718"/>
      <c r="V24" s="495">
        <f t="shared" si="11"/>
        <v>0</v>
      </c>
      <c r="W24" s="495">
        <f t="shared" si="12"/>
        <v>0</v>
      </c>
      <c r="X24" s="825">
        <f>[1]Субсидия_факт!FH26</f>
        <v>0</v>
      </c>
      <c r="Y24" s="1173"/>
      <c r="Z24" s="151">
        <f>[1]Субсидия_факт!GJ26</f>
        <v>0</v>
      </c>
      <c r="AA24" s="718"/>
      <c r="AB24" s="495">
        <f t="shared" si="13"/>
        <v>0</v>
      </c>
      <c r="AC24" s="495">
        <f t="shared" si="14"/>
        <v>0</v>
      </c>
      <c r="AD24" s="825">
        <f>[1]Субсидия_факт!GL26</f>
        <v>0</v>
      </c>
      <c r="AE24" s="1173"/>
      <c r="AF24" s="151">
        <f>[1]Субсидия_факт!GR26</f>
        <v>0</v>
      </c>
      <c r="AG24" s="1482">
        <f>0-'Прочая  субсидия_МР  и  ГО'!AA24</f>
        <v>0</v>
      </c>
      <c r="AH24" s="495">
        <f t="shared" si="15"/>
        <v>0</v>
      </c>
      <c r="AI24" s="495">
        <f t="shared" si="16"/>
        <v>0</v>
      </c>
      <c r="AJ24" s="825">
        <f>[1]Субсидия_факт!GT26</f>
        <v>0</v>
      </c>
      <c r="AK24" s="1173"/>
      <c r="AL24" s="151">
        <f>[1]Субсидия_факт!IJ26</f>
        <v>0</v>
      </c>
      <c r="AM24" s="718"/>
      <c r="AN24" s="495">
        <f t="shared" si="17"/>
        <v>0</v>
      </c>
      <c r="AO24" s="495">
        <f t="shared" si="18"/>
        <v>0</v>
      </c>
      <c r="AP24" s="825">
        <f>[1]Субсидия_факт!IL26</f>
        <v>0</v>
      </c>
      <c r="AQ24" s="1173"/>
      <c r="AR24" s="151">
        <f>[1]Субсидия_факт!IP26</f>
        <v>0</v>
      </c>
      <c r="AS24" s="718"/>
      <c r="AT24" s="495">
        <f t="shared" si="19"/>
        <v>0</v>
      </c>
      <c r="AU24" s="495">
        <f t="shared" si="20"/>
        <v>0</v>
      </c>
      <c r="AV24" s="825">
        <f>[1]Субсидия_факт!IR26</f>
        <v>0</v>
      </c>
      <c r="AW24" s="1173"/>
      <c r="AX24" s="151">
        <f>[1]Субсидия_факт!JJ26</f>
        <v>643262.03000000014</v>
      </c>
      <c r="AY24" s="1482">
        <f>619417.16-'Прочая  субсидия_МР  и  ГО'!AO24</f>
        <v>446614.56000000006</v>
      </c>
      <c r="AZ24" s="495">
        <f t="shared" si="21"/>
        <v>643262.03000000014</v>
      </c>
      <c r="BA24" s="495">
        <f t="shared" si="22"/>
        <v>446614.56000000006</v>
      </c>
      <c r="BB24" s="825">
        <f>[1]Субсидия_факт!JL26</f>
        <v>0</v>
      </c>
      <c r="BC24" s="1173"/>
      <c r="BD24" s="151">
        <f>[1]Субсидия_факт!JP26</f>
        <v>1450000</v>
      </c>
      <c r="BE24" s="718"/>
      <c r="BF24" s="495">
        <f t="shared" si="23"/>
        <v>1450000</v>
      </c>
      <c r="BG24" s="495">
        <f t="shared" si="24"/>
        <v>0</v>
      </c>
      <c r="BH24" s="825">
        <f>[1]Субсидия_факт!JR26</f>
        <v>0</v>
      </c>
      <c r="BI24" s="1173"/>
    </row>
    <row r="25" spans="1:61" s="152" customFormat="1" ht="21" customHeight="1" x14ac:dyDescent="0.25">
      <c r="A25" s="153" t="s">
        <v>96</v>
      </c>
      <c r="B25" s="148">
        <f t="shared" si="1"/>
        <v>7775069.9200000009</v>
      </c>
      <c r="C25" s="148">
        <f t="shared" si="2"/>
        <v>4318449</v>
      </c>
      <c r="D25" s="495">
        <f t="shared" si="3"/>
        <v>5540155.4400000004</v>
      </c>
      <c r="E25" s="495">
        <f t="shared" si="4"/>
        <v>2093449</v>
      </c>
      <c r="F25" s="495">
        <f t="shared" si="5"/>
        <v>2234914.48</v>
      </c>
      <c r="G25" s="495">
        <f t="shared" si="6"/>
        <v>2225000</v>
      </c>
      <c r="H25" s="151">
        <f>[1]Субсидия_факт!EF27</f>
        <v>0</v>
      </c>
      <c r="I25" s="718"/>
      <c r="J25" s="495">
        <f t="shared" si="7"/>
        <v>0</v>
      </c>
      <c r="K25" s="495">
        <f t="shared" si="8"/>
        <v>0</v>
      </c>
      <c r="L25" s="825">
        <f>[1]Субсидия_факт!EH27</f>
        <v>0</v>
      </c>
      <c r="M25" s="1173"/>
      <c r="N25" s="151">
        <f>[1]Субсидия_факт!ER27</f>
        <v>0</v>
      </c>
      <c r="O25" s="718"/>
      <c r="P25" s="495">
        <f t="shared" si="9"/>
        <v>0</v>
      </c>
      <c r="Q25" s="495">
        <f t="shared" si="10"/>
        <v>0</v>
      </c>
      <c r="R25" s="825">
        <f>[1]Субсидия_факт!ET27</f>
        <v>0</v>
      </c>
      <c r="S25" s="1173"/>
      <c r="T25" s="151">
        <f>[1]Субсидия_факт!FF27</f>
        <v>0</v>
      </c>
      <c r="U25" s="718"/>
      <c r="V25" s="495">
        <f t="shared" si="11"/>
        <v>0</v>
      </c>
      <c r="W25" s="495">
        <f t="shared" si="12"/>
        <v>0</v>
      </c>
      <c r="X25" s="825">
        <f>[1]Субсидия_факт!FH27</f>
        <v>0</v>
      </c>
      <c r="Y25" s="1173"/>
      <c r="Z25" s="151">
        <f>[1]Субсидия_факт!GJ27</f>
        <v>0</v>
      </c>
      <c r="AA25" s="718"/>
      <c r="AB25" s="495">
        <f t="shared" si="13"/>
        <v>0</v>
      </c>
      <c r="AC25" s="495">
        <f t="shared" si="14"/>
        <v>0</v>
      </c>
      <c r="AD25" s="825">
        <f>[1]Субсидия_факт!GL27</f>
        <v>0</v>
      </c>
      <c r="AE25" s="1173"/>
      <c r="AF25" s="151">
        <f>[1]Субсидия_факт!GR27</f>
        <v>6273659.2200000007</v>
      </c>
      <c r="AG25" s="1482">
        <f>6077265.17-'Прочая  субсидия_МР  и  ГО'!AA25</f>
        <v>4132068.23</v>
      </c>
      <c r="AH25" s="495">
        <f t="shared" si="15"/>
        <v>4048659.2200000007</v>
      </c>
      <c r="AI25" s="495">
        <f t="shared" si="16"/>
        <v>1907068.23</v>
      </c>
      <c r="AJ25" s="825">
        <f>[1]Субсидия_факт!GT27</f>
        <v>2225000</v>
      </c>
      <c r="AK25" s="1173">
        <v>2225000</v>
      </c>
      <c r="AL25" s="151">
        <f>[1]Субсидия_факт!IJ27</f>
        <v>0</v>
      </c>
      <c r="AM25" s="718"/>
      <c r="AN25" s="495">
        <f t="shared" si="17"/>
        <v>0</v>
      </c>
      <c r="AO25" s="495">
        <f t="shared" si="18"/>
        <v>0</v>
      </c>
      <c r="AP25" s="825">
        <f>[1]Субсидия_факт!IL27</f>
        <v>0</v>
      </c>
      <c r="AQ25" s="1173"/>
      <c r="AR25" s="151">
        <f>[1]Субсидия_факт!IP27</f>
        <v>0</v>
      </c>
      <c r="AS25" s="718"/>
      <c r="AT25" s="495">
        <f t="shared" si="19"/>
        <v>0</v>
      </c>
      <c r="AU25" s="495">
        <f t="shared" si="20"/>
        <v>0</v>
      </c>
      <c r="AV25" s="825">
        <f>[1]Субсидия_факт!IR27</f>
        <v>0</v>
      </c>
      <c r="AW25" s="1173"/>
      <c r="AX25" s="151">
        <f>[1]Субсидия_факт!JJ27</f>
        <v>501410.69999999995</v>
      </c>
      <c r="AY25" s="1482">
        <f>254644.28-'Прочая  субсидия_МР  и  ГО'!AO25</f>
        <v>186380.77000000002</v>
      </c>
      <c r="AZ25" s="495">
        <f t="shared" si="21"/>
        <v>491496.22</v>
      </c>
      <c r="BA25" s="495">
        <f t="shared" si="22"/>
        <v>186380.77000000002</v>
      </c>
      <c r="BB25" s="825">
        <f>[1]Субсидия_факт!JL27</f>
        <v>9914.4799999999959</v>
      </c>
      <c r="BC25" s="1173">
        <v>0</v>
      </c>
      <c r="BD25" s="151">
        <f>[1]Субсидия_факт!JP27</f>
        <v>1000000</v>
      </c>
      <c r="BE25" s="718"/>
      <c r="BF25" s="495">
        <f t="shared" si="23"/>
        <v>1000000</v>
      </c>
      <c r="BG25" s="495">
        <f t="shared" si="24"/>
        <v>0</v>
      </c>
      <c r="BH25" s="825">
        <f>[1]Субсидия_факт!JR27</f>
        <v>0</v>
      </c>
      <c r="BI25" s="1173"/>
    </row>
    <row r="26" spans="1:61" s="257" customFormat="1" ht="21" customHeight="1" x14ac:dyDescent="0.25">
      <c r="A26" s="147" t="s">
        <v>104</v>
      </c>
      <c r="B26" s="154">
        <f t="shared" ref="B26:S26" si="26">SUM(B8:B25)</f>
        <v>131835964.41</v>
      </c>
      <c r="C26" s="154">
        <f t="shared" si="26"/>
        <v>45119862.960000008</v>
      </c>
      <c r="D26" s="621">
        <f t="shared" si="26"/>
        <v>74411319.589999989</v>
      </c>
      <c r="E26" s="621">
        <f t="shared" si="26"/>
        <v>13950925</v>
      </c>
      <c r="F26" s="621">
        <f t="shared" si="26"/>
        <v>57424644.82</v>
      </c>
      <c r="G26" s="621">
        <f t="shared" si="26"/>
        <v>31168937.960000001</v>
      </c>
      <c r="H26" s="154">
        <f t="shared" si="26"/>
        <v>35707.15</v>
      </c>
      <c r="I26" s="150">
        <f t="shared" si="26"/>
        <v>35707.15</v>
      </c>
      <c r="J26" s="621">
        <f t="shared" si="26"/>
        <v>15707.149999999998</v>
      </c>
      <c r="K26" s="621">
        <f t="shared" si="26"/>
        <v>15707.149999999998</v>
      </c>
      <c r="L26" s="621">
        <f t="shared" si="26"/>
        <v>20000</v>
      </c>
      <c r="M26" s="621">
        <f t="shared" si="26"/>
        <v>20000</v>
      </c>
      <c r="N26" s="154">
        <f t="shared" si="26"/>
        <v>0</v>
      </c>
      <c r="O26" s="150">
        <f t="shared" si="26"/>
        <v>0</v>
      </c>
      <c r="P26" s="621">
        <f t="shared" si="26"/>
        <v>0</v>
      </c>
      <c r="Q26" s="621">
        <f t="shared" si="26"/>
        <v>0</v>
      </c>
      <c r="R26" s="621">
        <f t="shared" si="26"/>
        <v>0</v>
      </c>
      <c r="S26" s="621">
        <f t="shared" si="26"/>
        <v>0</v>
      </c>
      <c r="T26" s="154">
        <f t="shared" ref="T26:Y26" si="27">SUM(T8:T25)</f>
        <v>18325925</v>
      </c>
      <c r="U26" s="150">
        <f t="shared" si="27"/>
        <v>0</v>
      </c>
      <c r="V26" s="621">
        <f t="shared" si="27"/>
        <v>18325925</v>
      </c>
      <c r="W26" s="621">
        <f t="shared" si="27"/>
        <v>0</v>
      </c>
      <c r="X26" s="621">
        <f t="shared" si="27"/>
        <v>0</v>
      </c>
      <c r="Y26" s="621">
        <f t="shared" si="27"/>
        <v>0</v>
      </c>
      <c r="Z26" s="154">
        <f t="shared" ref="Z26:AE26" si="28">SUM(Z8:Z25)</f>
        <v>98358.27</v>
      </c>
      <c r="AA26" s="150">
        <f t="shared" si="28"/>
        <v>98358.27</v>
      </c>
      <c r="AB26" s="621">
        <f t="shared" si="28"/>
        <v>0</v>
      </c>
      <c r="AC26" s="621">
        <f t="shared" si="28"/>
        <v>0</v>
      </c>
      <c r="AD26" s="621">
        <f t="shared" si="28"/>
        <v>98358.27</v>
      </c>
      <c r="AE26" s="621">
        <f t="shared" si="28"/>
        <v>98358.27</v>
      </c>
      <c r="AF26" s="154">
        <f t="shared" ref="AF26:AK26" si="29">SUM(AF8:AF25)</f>
        <v>74432712.950000003</v>
      </c>
      <c r="AG26" s="150">
        <f t="shared" si="29"/>
        <v>39382368.159999996</v>
      </c>
      <c r="AH26" s="621">
        <f t="shared" si="29"/>
        <v>21893212.950000003</v>
      </c>
      <c r="AI26" s="621">
        <f t="shared" si="29"/>
        <v>8576951.9500000011</v>
      </c>
      <c r="AJ26" s="621">
        <f t="shared" si="29"/>
        <v>52539500</v>
      </c>
      <c r="AK26" s="621">
        <f t="shared" si="29"/>
        <v>30805416.210000001</v>
      </c>
      <c r="AL26" s="150">
        <f t="shared" ref="AL26:AQ26" si="30">SUM(AL8:AL25)</f>
        <v>0</v>
      </c>
      <c r="AM26" s="150">
        <f t="shared" si="30"/>
        <v>0</v>
      </c>
      <c r="AN26" s="621">
        <f t="shared" si="30"/>
        <v>0</v>
      </c>
      <c r="AO26" s="621">
        <f t="shared" si="30"/>
        <v>0</v>
      </c>
      <c r="AP26" s="621">
        <f t="shared" si="30"/>
        <v>0</v>
      </c>
      <c r="AQ26" s="621">
        <f t="shared" si="30"/>
        <v>0</v>
      </c>
      <c r="AR26" s="150">
        <f t="shared" ref="AR26:AW26" si="31">SUM(AR8:AR25)</f>
        <v>0</v>
      </c>
      <c r="AS26" s="150">
        <f t="shared" si="31"/>
        <v>0</v>
      </c>
      <c r="AT26" s="621">
        <f t="shared" si="31"/>
        <v>0</v>
      </c>
      <c r="AU26" s="621">
        <f t="shared" si="31"/>
        <v>0</v>
      </c>
      <c r="AV26" s="621">
        <f t="shared" si="31"/>
        <v>0</v>
      </c>
      <c r="AW26" s="621">
        <f t="shared" si="31"/>
        <v>0</v>
      </c>
      <c r="AX26" s="154">
        <f t="shared" ref="AX26:BC26" si="32">SUM(AX8:AX25)</f>
        <v>8443261.040000001</v>
      </c>
      <c r="AY26" s="150">
        <f t="shared" si="32"/>
        <v>5603429.379999999</v>
      </c>
      <c r="AZ26" s="293">
        <f t="shared" si="32"/>
        <v>7976474.4900000002</v>
      </c>
      <c r="BA26" s="293">
        <f t="shared" si="32"/>
        <v>5358265.8999999985</v>
      </c>
      <c r="BB26" s="293">
        <f t="shared" si="32"/>
        <v>466786.55000000005</v>
      </c>
      <c r="BC26" s="293">
        <f t="shared" si="32"/>
        <v>245163.48</v>
      </c>
      <c r="BD26" s="154">
        <f t="shared" ref="BD26:BI26" si="33">SUM(BD8:BD25)</f>
        <v>30500000</v>
      </c>
      <c r="BE26" s="150">
        <f t="shared" si="33"/>
        <v>0</v>
      </c>
      <c r="BF26" s="621">
        <f t="shared" si="33"/>
        <v>26200000</v>
      </c>
      <c r="BG26" s="621">
        <f t="shared" si="33"/>
        <v>0</v>
      </c>
      <c r="BH26" s="621">
        <f t="shared" si="33"/>
        <v>4300000</v>
      </c>
      <c r="BI26" s="621">
        <f t="shared" si="33"/>
        <v>0</v>
      </c>
    </row>
    <row r="27" spans="1:61" s="152" customFormat="1" ht="21" customHeight="1" x14ac:dyDescent="0.25">
      <c r="A27" s="253"/>
      <c r="B27" s="274"/>
      <c r="C27" s="274"/>
      <c r="D27" s="254"/>
      <c r="E27" s="254"/>
      <c r="F27" s="254"/>
      <c r="G27" s="254"/>
      <c r="H27" s="254"/>
      <c r="I27" s="254"/>
      <c r="J27" s="254"/>
      <c r="K27" s="254"/>
      <c r="L27" s="254"/>
      <c r="M27" s="254"/>
      <c r="N27" s="254"/>
      <c r="O27" s="254"/>
      <c r="P27" s="254"/>
      <c r="Q27" s="254"/>
      <c r="R27" s="254"/>
      <c r="S27" s="254"/>
      <c r="T27" s="254"/>
      <c r="U27" s="254"/>
      <c r="V27" s="254"/>
      <c r="W27" s="254"/>
      <c r="X27" s="254"/>
      <c r="Y27" s="254"/>
      <c r="Z27" s="258"/>
      <c r="AA27" s="258"/>
      <c r="AB27" s="258"/>
      <c r="AC27" s="258"/>
      <c r="AD27" s="258"/>
      <c r="AE27" s="258"/>
      <c r="AF27" s="258"/>
      <c r="AG27" s="258"/>
      <c r="AH27" s="258"/>
      <c r="AI27" s="258"/>
      <c r="AJ27" s="258"/>
      <c r="AK27" s="258"/>
      <c r="AL27" s="499"/>
      <c r="AM27" s="499"/>
      <c r="AN27" s="499"/>
      <c r="AO27" s="499"/>
      <c r="AP27" s="499"/>
      <c r="AQ27" s="499"/>
      <c r="AR27" s="499"/>
      <c r="AS27" s="499"/>
      <c r="AT27" s="499"/>
      <c r="AU27" s="499"/>
      <c r="AV27" s="499"/>
      <c r="AW27" s="499"/>
      <c r="AX27" s="254"/>
      <c r="AY27" s="254"/>
      <c r="AZ27" s="254"/>
      <c r="BA27" s="254"/>
      <c r="BB27" s="254"/>
      <c r="BC27" s="254"/>
    </row>
    <row r="28" spans="1:61" s="152" customFormat="1" ht="21" customHeight="1" x14ac:dyDescent="0.25">
      <c r="A28" s="253"/>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8"/>
      <c r="AA28" s="258"/>
      <c r="AB28" s="258"/>
      <c r="AC28" s="258"/>
      <c r="AD28" s="258"/>
      <c r="AE28" s="258"/>
      <c r="AF28" s="258"/>
      <c r="AG28" s="258"/>
      <c r="AH28" s="258"/>
      <c r="AI28" s="258"/>
      <c r="AJ28" s="258"/>
      <c r="AK28" s="258"/>
      <c r="AL28" s="500"/>
      <c r="AM28" s="500"/>
      <c r="AN28" s="500"/>
      <c r="AO28" s="500"/>
      <c r="AP28" s="500"/>
      <c r="AQ28" s="500"/>
      <c r="AR28" s="500"/>
      <c r="AS28" s="500"/>
      <c r="AT28" s="500"/>
      <c r="AU28" s="500"/>
      <c r="AV28" s="500"/>
      <c r="AW28" s="500"/>
      <c r="AX28" s="254"/>
      <c r="AY28" s="254"/>
      <c r="AZ28" s="254"/>
      <c r="BA28" s="254"/>
      <c r="BB28" s="254"/>
      <c r="BC28" s="254"/>
    </row>
    <row r="29" spans="1:61" s="1159" customFormat="1" ht="21" customHeight="1" x14ac:dyDescent="0.25">
      <c r="A29" s="147" t="s">
        <v>132</v>
      </c>
      <c r="B29" s="148">
        <f t="shared" ref="B29" si="34">H29+AX29+T29+AL29+AF29+BD29+Z29+N29+AR29</f>
        <v>0</v>
      </c>
      <c r="C29" s="148">
        <f t="shared" ref="C29" si="35">I29+AY29+U29+AM29+AG29+BE29+AA29+O29+AS29</f>
        <v>0</v>
      </c>
      <c r="D29" s="495">
        <f t="shared" ref="D29" si="36">J29+AZ29+V29+AN29+AH29+BF29+AB29+P29+AT29</f>
        <v>0</v>
      </c>
      <c r="E29" s="495">
        <f t="shared" ref="E29" si="37">K29+BA29+W29+AO29+AI29+BG29+AC29+Q29+AU29</f>
        <v>0</v>
      </c>
      <c r="F29" s="495">
        <f t="shared" ref="F29" si="38">L29+BB29+X29+AP29+AJ29+BH29+AD29+R29+AV29</f>
        <v>0</v>
      </c>
      <c r="G29" s="495">
        <f t="shared" ref="G29" si="39">M29+BC29+Y29+AQ29+AK29+BI29+AE29+S29+AW29</f>
        <v>0</v>
      </c>
      <c r="H29" s="1157"/>
      <c r="I29" s="1157"/>
      <c r="J29" s="1157"/>
      <c r="K29" s="1157"/>
      <c r="L29" s="1157"/>
      <c r="M29" s="1157"/>
      <c r="N29" s="1157"/>
      <c r="O29" s="1157"/>
      <c r="P29" s="1157"/>
      <c r="Q29" s="1157"/>
      <c r="R29" s="1157"/>
      <c r="S29" s="1157"/>
      <c r="T29" s="1157"/>
      <c r="U29" s="1157"/>
      <c r="V29" s="1157"/>
      <c r="W29" s="1157"/>
      <c r="X29" s="1157"/>
      <c r="Y29" s="1157"/>
      <c r="Z29" s="1157"/>
      <c r="AA29" s="1157"/>
      <c r="AB29" s="1157"/>
      <c r="AC29" s="1157"/>
      <c r="AD29" s="1157"/>
      <c r="AE29" s="1157"/>
      <c r="AF29" s="1157"/>
      <c r="AG29" s="1157"/>
      <c r="AH29" s="1157"/>
      <c r="AI29" s="1157"/>
      <c r="AJ29" s="1157"/>
      <c r="AK29" s="1157"/>
      <c r="AL29" s="1158"/>
      <c r="AM29" s="1158"/>
      <c r="AN29" s="1158"/>
      <c r="AO29" s="1158"/>
      <c r="AP29" s="1158"/>
      <c r="AQ29" s="1158"/>
      <c r="AR29" s="1158"/>
      <c r="AS29" s="1158"/>
      <c r="AT29" s="1158"/>
      <c r="AU29" s="1158"/>
      <c r="AV29" s="1158"/>
      <c r="AW29" s="1158"/>
      <c r="AX29" s="1157"/>
      <c r="AY29" s="1157"/>
      <c r="AZ29" s="1157"/>
      <c r="BA29" s="1157"/>
      <c r="BB29" s="1157"/>
      <c r="BC29" s="1157"/>
    </row>
    <row r="30" spans="1:61" s="152" customFormat="1" ht="21" customHeight="1" x14ac:dyDescent="0.25">
      <c r="A30" s="253"/>
      <c r="B30" s="254"/>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254"/>
    </row>
    <row r="31" spans="1:61" s="152" customFormat="1" ht="21" customHeight="1" x14ac:dyDescent="0.25">
      <c r="A31" s="253"/>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501"/>
      <c r="AM31" s="501"/>
      <c r="AN31" s="501"/>
      <c r="AO31" s="501"/>
      <c r="AP31" s="501"/>
      <c r="AQ31" s="501"/>
      <c r="AR31" s="501"/>
      <c r="AS31" s="501"/>
      <c r="AT31" s="501"/>
      <c r="AU31" s="501"/>
      <c r="AV31" s="501"/>
      <c r="AW31" s="501"/>
      <c r="AX31" s="254"/>
      <c r="AY31" s="254"/>
      <c r="AZ31" s="254"/>
      <c r="BA31" s="254"/>
      <c r="BB31" s="254"/>
      <c r="BC31" s="254"/>
    </row>
    <row r="32" spans="1:61" s="152" customFormat="1" ht="21" customHeight="1" x14ac:dyDescent="0.25">
      <c r="A32" s="253"/>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501"/>
      <c r="AM32" s="501"/>
      <c r="AN32" s="501"/>
      <c r="AO32" s="501"/>
      <c r="AP32" s="501"/>
      <c r="AQ32" s="501"/>
      <c r="AR32" s="501"/>
      <c r="AS32" s="501"/>
      <c r="AT32" s="501"/>
      <c r="AU32" s="501"/>
      <c r="AV32" s="501"/>
      <c r="AW32" s="501"/>
      <c r="AX32" s="254"/>
      <c r="AY32" s="254"/>
      <c r="AZ32" s="254"/>
      <c r="BA32" s="254"/>
      <c r="BB32" s="254"/>
      <c r="BC32" s="254"/>
    </row>
    <row r="33" spans="1:55" s="85" customFormat="1" ht="15.75" x14ac:dyDescent="0.25">
      <c r="AL33" s="254"/>
      <c r="AM33" s="254"/>
      <c r="AN33" s="254"/>
      <c r="AO33" s="254"/>
      <c r="AP33" s="254"/>
      <c r="AQ33" s="254"/>
      <c r="AR33" s="254"/>
      <c r="AS33" s="254"/>
      <c r="AT33" s="254"/>
      <c r="AU33" s="254"/>
      <c r="AV33" s="254"/>
      <c r="AW33" s="254"/>
    </row>
    <row r="34" spans="1:55" s="85" customFormat="1" ht="15.75" x14ac:dyDescent="0.25">
      <c r="AL34" s="418"/>
      <c r="AM34" s="418"/>
      <c r="AN34" s="418"/>
      <c r="AO34" s="418"/>
      <c r="AP34" s="418"/>
      <c r="AQ34" s="418"/>
      <c r="AR34" s="418"/>
      <c r="AS34" s="418"/>
      <c r="AT34" s="418"/>
      <c r="AU34" s="418"/>
      <c r="AV34" s="418"/>
      <c r="AW34" s="418"/>
    </row>
    <row r="35" spans="1:55" s="1" customFormat="1" ht="15.75" x14ac:dyDescent="0.25">
      <c r="A35" s="85"/>
      <c r="B35" s="85"/>
      <c r="C35" s="85"/>
      <c r="D35" s="85"/>
      <c r="E35" s="85"/>
      <c r="F35" s="85"/>
      <c r="G35" s="85"/>
      <c r="AL35" s="419"/>
      <c r="AM35" s="419"/>
      <c r="AN35" s="419"/>
      <c r="AO35" s="419"/>
      <c r="AP35" s="419"/>
      <c r="AQ35" s="419"/>
      <c r="AR35" s="419"/>
      <c r="AS35" s="419"/>
      <c r="AT35" s="419"/>
      <c r="AU35" s="419"/>
      <c r="AV35" s="419"/>
      <c r="AW35" s="419"/>
    </row>
    <row r="36" spans="1:55" ht="15.75" x14ac:dyDescent="0.25">
      <c r="A36" s="85"/>
      <c r="B36" s="85"/>
      <c r="C36" s="85"/>
      <c r="D36" s="85"/>
      <c r="E36" s="85"/>
      <c r="F36" s="85"/>
      <c r="G36" s="85"/>
      <c r="AL36" s="502"/>
      <c r="AM36" s="502"/>
      <c r="AN36" s="502"/>
      <c r="AO36" s="502"/>
      <c r="AP36" s="502"/>
      <c r="AQ36" s="502"/>
      <c r="AR36" s="502"/>
      <c r="AS36" s="502"/>
      <c r="AT36" s="502"/>
      <c r="AU36" s="502"/>
      <c r="AV36" s="502"/>
      <c r="AW36" s="502"/>
    </row>
    <row r="37" spans="1:55" ht="15.75" x14ac:dyDescent="0.25">
      <c r="T37" s="85"/>
      <c r="U37" s="85"/>
      <c r="V37" s="85"/>
      <c r="W37" s="85"/>
      <c r="X37" s="85"/>
      <c r="Y37" s="85"/>
      <c r="AL37" s="422"/>
      <c r="AM37" s="422"/>
      <c r="AN37" s="422"/>
      <c r="AO37" s="422"/>
      <c r="AP37" s="422"/>
      <c r="AQ37" s="422"/>
      <c r="AR37" s="422"/>
      <c r="AS37" s="422"/>
      <c r="AT37" s="422"/>
      <c r="AU37" s="422"/>
      <c r="AV37" s="422"/>
      <c r="AW37" s="422"/>
    </row>
    <row r="38" spans="1:55" ht="15.75" x14ac:dyDescent="0.25">
      <c r="AL38" s="254"/>
      <c r="AM38" s="254"/>
      <c r="AN38" s="254"/>
      <c r="AO38" s="254"/>
      <c r="AP38" s="254"/>
      <c r="AQ38" s="254"/>
      <c r="AR38" s="254"/>
      <c r="AS38" s="254"/>
      <c r="AT38" s="254"/>
      <c r="AU38" s="254"/>
      <c r="AV38" s="254"/>
      <c r="AW38" s="254"/>
    </row>
    <row r="39" spans="1:55" ht="15.75" x14ac:dyDescent="0.25">
      <c r="AL39" s="419"/>
      <c r="AM39" s="419"/>
      <c r="AN39" s="419"/>
      <c r="AO39" s="419"/>
      <c r="AP39" s="419"/>
      <c r="AQ39" s="419"/>
      <c r="AR39" s="419"/>
      <c r="AS39" s="419"/>
      <c r="AT39" s="419"/>
      <c r="AU39" s="419"/>
      <c r="AV39" s="419"/>
      <c r="AW39" s="419"/>
      <c r="AX39" s="419"/>
      <c r="AY39" s="419"/>
      <c r="AZ39" s="419"/>
      <c r="BA39" s="419"/>
      <c r="BB39" s="419"/>
      <c r="BC39" s="419"/>
    </row>
    <row r="40" spans="1:55" ht="15.75" x14ac:dyDescent="0.25">
      <c r="AL40" s="436"/>
      <c r="AM40" s="436"/>
      <c r="AN40" s="436"/>
      <c r="AO40" s="436"/>
      <c r="AP40" s="436"/>
      <c r="AQ40" s="436"/>
      <c r="AR40" s="436"/>
      <c r="AS40" s="436"/>
      <c r="AT40" s="436"/>
      <c r="AU40" s="436"/>
      <c r="AV40" s="436"/>
      <c r="AW40" s="436"/>
    </row>
    <row r="41" spans="1:55" ht="15.75" x14ac:dyDescent="0.25">
      <c r="AL41" s="418"/>
      <c r="AM41" s="418"/>
      <c r="AN41" s="418"/>
      <c r="AO41" s="418"/>
      <c r="AP41" s="418"/>
      <c r="AQ41" s="418"/>
      <c r="AR41" s="418"/>
      <c r="AS41" s="418"/>
      <c r="AT41" s="418"/>
      <c r="AU41" s="418"/>
      <c r="AV41" s="418"/>
      <c r="AW41" s="418"/>
    </row>
    <row r="42" spans="1:55" ht="15.75" x14ac:dyDescent="0.25">
      <c r="AL42" s="424"/>
      <c r="AM42" s="424"/>
      <c r="AN42" s="424"/>
      <c r="AO42" s="424"/>
      <c r="AP42" s="424"/>
      <c r="AQ42" s="424"/>
      <c r="AR42" s="424"/>
      <c r="AS42" s="424"/>
      <c r="AT42" s="424"/>
      <c r="AU42" s="424"/>
      <c r="AV42" s="424"/>
      <c r="AW42" s="424"/>
    </row>
    <row r="43" spans="1:55" ht="15.75" x14ac:dyDescent="0.25">
      <c r="AL43" s="424"/>
      <c r="AM43" s="424"/>
      <c r="AN43" s="424"/>
      <c r="AO43" s="424"/>
      <c r="AP43" s="424"/>
      <c r="AQ43" s="424"/>
      <c r="AR43" s="424"/>
      <c r="AS43" s="424"/>
      <c r="AT43" s="424"/>
      <c r="AU43" s="424"/>
      <c r="AV43" s="424"/>
      <c r="AW43" s="424"/>
    </row>
    <row r="44" spans="1:55" ht="15.75" x14ac:dyDescent="0.25">
      <c r="AL44" s="424"/>
      <c r="AM44" s="424"/>
      <c r="AN44" s="424"/>
      <c r="AO44" s="424"/>
      <c r="AP44" s="424"/>
      <c r="AQ44" s="424"/>
      <c r="AR44" s="424"/>
      <c r="AS44" s="424"/>
      <c r="AT44" s="424"/>
      <c r="AU44" s="424"/>
      <c r="AV44" s="424"/>
      <c r="AW44" s="424"/>
    </row>
    <row r="45" spans="1:55" ht="15.75" x14ac:dyDescent="0.25">
      <c r="AL45" s="424"/>
      <c r="AM45" s="424"/>
      <c r="AN45" s="424"/>
      <c r="AO45" s="424"/>
      <c r="AP45" s="424"/>
      <c r="AQ45" s="424"/>
      <c r="AR45" s="424"/>
      <c r="AS45" s="424"/>
      <c r="AT45" s="424"/>
      <c r="AU45" s="424"/>
      <c r="AV45" s="424"/>
      <c r="AW45" s="424"/>
    </row>
  </sheetData>
  <mergeCells count="40">
    <mergeCell ref="R5:S5"/>
    <mergeCell ref="N6:S6"/>
    <mergeCell ref="T5:U5"/>
    <mergeCell ref="T6:Y6"/>
    <mergeCell ref="BF5:BG5"/>
    <mergeCell ref="Z6:AE6"/>
    <mergeCell ref="V5:W5"/>
    <mergeCell ref="X5:Y5"/>
    <mergeCell ref="Z5:AA5"/>
    <mergeCell ref="AB5:AC5"/>
    <mergeCell ref="AD5:AE5"/>
    <mergeCell ref="N5:O5"/>
    <mergeCell ref="P5:Q5"/>
    <mergeCell ref="AT5:AU5"/>
    <mergeCell ref="AV5:AW5"/>
    <mergeCell ref="AR6:AW6"/>
    <mergeCell ref="BH5:BI5"/>
    <mergeCell ref="BD6:BI6"/>
    <mergeCell ref="AF5:AG5"/>
    <mergeCell ref="AF6:AK6"/>
    <mergeCell ref="AH5:AI5"/>
    <mergeCell ref="AJ5:AK5"/>
    <mergeCell ref="AX6:BC6"/>
    <mergeCell ref="BB5:BC5"/>
    <mergeCell ref="AZ5:BA5"/>
    <mergeCell ref="AX5:AY5"/>
    <mergeCell ref="AL6:AQ6"/>
    <mergeCell ref="BD5:BE5"/>
    <mergeCell ref="AN5:AO5"/>
    <mergeCell ref="AL5:AM5"/>
    <mergeCell ref="AP5:AQ5"/>
    <mergeCell ref="AR5:AS5"/>
    <mergeCell ref="A5:A6"/>
    <mergeCell ref="B5:C6"/>
    <mergeCell ref="D5:E6"/>
    <mergeCell ref="F5:G6"/>
    <mergeCell ref="J5:K5"/>
    <mergeCell ref="H5:I5"/>
    <mergeCell ref="H6:M6"/>
    <mergeCell ref="L5:M5"/>
  </mergeCells>
  <phoneticPr fontId="0" type="noConversion"/>
  <pageMargins left="0.78740157480314965" right="0.39370078740157483" top="0.78740157480314965" bottom="0.78740157480314965" header="0.51181102362204722" footer="0.51181102362204722"/>
  <pageSetup paperSize="9" scale="55" fitToWidth="18" orientation="landscape" r:id="rId1"/>
  <headerFooter alignWithMargins="0">
    <oddFooter>&amp;L&amp;P&amp;R&amp;Z&amp;F&amp;A</oddFooter>
  </headerFooter>
  <colBreaks count="5" manualBreakCount="5">
    <brk id="11" max="25" man="1"/>
    <brk id="21" max="25" man="1"/>
    <brk id="31" max="25" man="1"/>
    <brk id="41" max="25" man="1"/>
    <brk id="51"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dimension ref="A2:AS52"/>
  <sheetViews>
    <sheetView topLeftCell="A2" zoomScale="50" zoomScaleNormal="50" zoomScaleSheetLayoutView="40" workbookViewId="0">
      <pane xSplit="3" ySplit="6" topLeftCell="D23" activePane="bottomRight" state="frozen"/>
      <selection activeCell="A2" sqref="A2"/>
      <selection pane="topRight" activeCell="D2" sqref="D2"/>
      <selection pane="bottomLeft" activeCell="A8" sqref="A8"/>
      <selection pane="bottomRight" activeCell="E25" sqref="E25"/>
    </sheetView>
  </sheetViews>
  <sheetFormatPr defaultColWidth="8.85546875" defaultRowHeight="16.5" x14ac:dyDescent="0.25"/>
  <cols>
    <col min="1" max="1" width="27" style="395" customWidth="1"/>
    <col min="2" max="2" width="27.85546875" style="395" customWidth="1"/>
    <col min="3" max="3" width="25.5703125" style="395" bestFit="1" customWidth="1"/>
    <col min="4" max="5" width="25.5703125" style="395" customWidth="1"/>
    <col min="6" max="6" width="21.85546875" style="395" customWidth="1"/>
    <col min="7" max="7" width="21.5703125" style="395" customWidth="1"/>
    <col min="8" max="8" width="23.42578125" style="395" customWidth="1"/>
    <col min="9" max="9" width="25.5703125" style="395" customWidth="1"/>
    <col min="10" max="10" width="27.42578125" style="395" customWidth="1"/>
    <col min="11" max="11" width="26.140625" style="395" customWidth="1"/>
    <col min="12" max="13" width="23.140625" style="395" customWidth="1"/>
    <col min="14" max="14" width="23.85546875" style="395" customWidth="1"/>
    <col min="15" max="15" width="24" style="395" customWidth="1"/>
    <col min="16" max="17" width="22.42578125" style="395" customWidth="1"/>
    <col min="18" max="18" width="22.42578125" style="395" bestFit="1" customWidth="1"/>
    <col min="19" max="19" width="22.85546875" style="395" bestFit="1" customWidth="1"/>
    <col min="20" max="20" width="22.5703125" style="395" customWidth="1"/>
    <col min="21" max="21" width="24" style="395" customWidth="1"/>
    <col min="22" max="23" width="26.5703125" style="395" customWidth="1"/>
    <col min="24" max="24" width="25.5703125" style="395" customWidth="1"/>
    <col min="25" max="25" width="28.140625" style="395" bestFit="1" customWidth="1"/>
    <col min="26" max="26" width="23.42578125" style="395" customWidth="1"/>
    <col min="27" max="29" width="22.42578125" style="395" customWidth="1"/>
    <col min="30" max="30" width="22.140625" style="395" customWidth="1"/>
    <col min="31" max="31" width="22.42578125" style="395" bestFit="1" customWidth="1"/>
    <col min="32" max="32" width="24.5703125" style="395" customWidth="1"/>
    <col min="33" max="33" width="25.42578125" style="395" customWidth="1"/>
    <col min="34" max="34" width="22" style="395" customWidth="1"/>
    <col min="35" max="38" width="22.42578125" style="395" customWidth="1"/>
    <col min="39" max="39" width="22" style="395" customWidth="1"/>
    <col min="40" max="40" width="12.5703125" style="395" customWidth="1"/>
    <col min="41" max="41" width="8.85546875" style="395"/>
    <col min="42" max="42" width="25.140625" style="397" customWidth="1"/>
    <col min="43" max="43" width="18.5703125" style="397" customWidth="1"/>
    <col min="44" max="44" width="17.5703125" style="397" customWidth="1"/>
    <col min="45" max="45" width="18.5703125" style="397" customWidth="1"/>
    <col min="46" max="16384" width="8.85546875" style="395"/>
  </cols>
  <sheetData>
    <row r="2" spans="1:45" ht="48" customHeight="1" x14ac:dyDescent="0.25">
      <c r="C2" s="1816" t="s">
        <v>29</v>
      </c>
      <c r="D2" s="1816"/>
      <c r="E2" s="1816"/>
      <c r="F2" s="1816"/>
      <c r="G2" s="1816"/>
      <c r="H2" s="1816"/>
      <c r="I2" s="1817" t="str">
        <f>'Прочая  субсидия_БП'!G2</f>
        <v>ПО  СОСТОЯНИЮ  НА  1  ОКТЯБРЯ  2021  ГОДА</v>
      </c>
      <c r="J2" s="1817"/>
      <c r="K2" s="1817"/>
      <c r="L2" s="394"/>
      <c r="M2" s="394"/>
      <c r="P2" s="394"/>
      <c r="Q2" s="394"/>
      <c r="AD2" s="398"/>
      <c r="AE2" s="398"/>
      <c r="AH2" s="394"/>
      <c r="AI2" s="394"/>
      <c r="AJ2" s="394"/>
      <c r="AK2" s="394"/>
    </row>
    <row r="3" spans="1:45" x14ac:dyDescent="0.25">
      <c r="B3" s="394"/>
      <c r="C3" s="394"/>
      <c r="D3" s="1648"/>
      <c r="E3" s="1648"/>
      <c r="L3" s="394"/>
      <c r="M3" s="394"/>
      <c r="P3" s="394"/>
      <c r="Q3" s="394"/>
      <c r="AD3" s="394"/>
      <c r="AE3" s="394"/>
      <c r="AH3" s="394"/>
      <c r="AI3" s="394"/>
      <c r="AJ3" s="394"/>
      <c r="AK3" s="394"/>
    </row>
    <row r="4" spans="1:45" x14ac:dyDescent="0.25">
      <c r="AM4" s="395" t="s">
        <v>35</v>
      </c>
    </row>
    <row r="5" spans="1:45" s="411" customFormat="1" ht="257.25" customHeight="1" x14ac:dyDescent="0.2">
      <c r="A5" s="1659" t="s">
        <v>12</v>
      </c>
      <c r="B5" s="1659" t="s">
        <v>1</v>
      </c>
      <c r="C5" s="1659"/>
      <c r="D5" s="1804" t="s">
        <v>946</v>
      </c>
      <c r="E5" s="1804"/>
      <c r="F5" s="1804" t="s">
        <v>11</v>
      </c>
      <c r="G5" s="1804"/>
      <c r="H5" s="1809" t="s">
        <v>433</v>
      </c>
      <c r="I5" s="1809"/>
      <c r="J5" s="1809" t="s">
        <v>432</v>
      </c>
      <c r="K5" s="1809"/>
      <c r="L5" s="1810" t="s">
        <v>149</v>
      </c>
      <c r="M5" s="1810"/>
      <c r="N5" s="1813" t="s">
        <v>21</v>
      </c>
      <c r="O5" s="1813"/>
      <c r="P5" s="1814" t="s">
        <v>431</v>
      </c>
      <c r="Q5" s="1814"/>
      <c r="R5" s="1809" t="s">
        <v>48</v>
      </c>
      <c r="S5" s="1809"/>
      <c r="T5" s="1659" t="s">
        <v>110</v>
      </c>
      <c r="U5" s="1659"/>
      <c r="V5" s="1659" t="s">
        <v>32</v>
      </c>
      <c r="W5" s="1659"/>
      <c r="X5" s="1811" t="s">
        <v>711</v>
      </c>
      <c r="Y5" s="1812"/>
      <c r="Z5" s="1808" t="s">
        <v>214</v>
      </c>
      <c r="AA5" s="1808"/>
      <c r="AB5" s="1659" t="s">
        <v>235</v>
      </c>
      <c r="AC5" s="1659"/>
      <c r="AD5" s="1809" t="s">
        <v>102</v>
      </c>
      <c r="AE5" s="1809"/>
      <c r="AF5" s="1804" t="s">
        <v>19</v>
      </c>
      <c r="AG5" s="1804"/>
      <c r="AH5" s="1810" t="s">
        <v>31</v>
      </c>
      <c r="AI5" s="1810"/>
      <c r="AJ5" s="1804" t="s">
        <v>710</v>
      </c>
      <c r="AK5" s="1804"/>
      <c r="AL5" s="1804" t="s">
        <v>215</v>
      </c>
      <c r="AM5" s="1804"/>
      <c r="AP5" s="396"/>
      <c r="AQ5" s="396"/>
      <c r="AR5" s="396"/>
      <c r="AS5" s="396"/>
    </row>
    <row r="6" spans="1:45" s="1594" customFormat="1" ht="25.5" customHeight="1" x14ac:dyDescent="0.25">
      <c r="A6" s="1659"/>
      <c r="B6" s="1659"/>
      <c r="C6" s="1659"/>
      <c r="D6" s="1818" t="s">
        <v>947</v>
      </c>
      <c r="E6" s="1819"/>
      <c r="F6" s="1805" t="s">
        <v>175</v>
      </c>
      <c r="G6" s="1807"/>
      <c r="H6" s="1805" t="s">
        <v>177</v>
      </c>
      <c r="I6" s="1807"/>
      <c r="J6" s="1805" t="s">
        <v>178</v>
      </c>
      <c r="K6" s="1807"/>
      <c r="L6" s="1805" t="s">
        <v>176</v>
      </c>
      <c r="M6" s="1807"/>
      <c r="N6" s="1806" t="s">
        <v>179</v>
      </c>
      <c r="O6" s="1807"/>
      <c r="P6" s="1815" t="s">
        <v>216</v>
      </c>
      <c r="Q6" s="1815"/>
      <c r="R6" s="1805" t="s">
        <v>180</v>
      </c>
      <c r="S6" s="1807"/>
      <c r="T6" s="1806" t="s">
        <v>181</v>
      </c>
      <c r="U6" s="1807"/>
      <c r="V6" s="1806" t="s">
        <v>229</v>
      </c>
      <c r="W6" s="1807"/>
      <c r="X6" s="1805" t="s">
        <v>230</v>
      </c>
      <c r="Y6" s="1807"/>
      <c r="Z6" s="1805" t="s">
        <v>231</v>
      </c>
      <c r="AA6" s="1807"/>
      <c r="AB6" s="1805" t="s">
        <v>234</v>
      </c>
      <c r="AC6" s="1807"/>
      <c r="AD6" s="1806" t="s">
        <v>182</v>
      </c>
      <c r="AE6" s="1807"/>
      <c r="AF6" s="1805" t="s">
        <v>491</v>
      </c>
      <c r="AG6" s="1807"/>
      <c r="AH6" s="1805" t="s">
        <v>183</v>
      </c>
      <c r="AI6" s="1807"/>
      <c r="AJ6" s="1805" t="s">
        <v>211</v>
      </c>
      <c r="AK6" s="1806"/>
      <c r="AL6" s="1805" t="s">
        <v>184</v>
      </c>
      <c r="AM6" s="1807"/>
      <c r="AP6" s="1595"/>
      <c r="AQ6" s="1595"/>
      <c r="AR6" s="1595"/>
      <c r="AS6" s="1595"/>
    </row>
    <row r="7" spans="1:45" s="248" customFormat="1" ht="25.5" customHeight="1" x14ac:dyDescent="0.2">
      <c r="A7" s="226"/>
      <c r="B7" s="393" t="s">
        <v>156</v>
      </c>
      <c r="C7" s="393" t="s">
        <v>157</v>
      </c>
      <c r="D7" s="1647" t="s">
        <v>156</v>
      </c>
      <c r="E7" s="1647" t="s">
        <v>157</v>
      </c>
      <c r="F7" s="393" t="s">
        <v>156</v>
      </c>
      <c r="G7" s="393" t="s">
        <v>157</v>
      </c>
      <c r="H7" s="393" t="s">
        <v>156</v>
      </c>
      <c r="I7" s="393" t="s">
        <v>157</v>
      </c>
      <c r="J7" s="393" t="s">
        <v>156</v>
      </c>
      <c r="K7" s="393" t="s">
        <v>157</v>
      </c>
      <c r="L7" s="393" t="s">
        <v>156</v>
      </c>
      <c r="M7" s="393" t="s">
        <v>157</v>
      </c>
      <c r="N7" s="393" t="s">
        <v>156</v>
      </c>
      <c r="O7" s="919" t="s">
        <v>157</v>
      </c>
      <c r="P7" s="462" t="s">
        <v>156</v>
      </c>
      <c r="Q7" s="462" t="s">
        <v>157</v>
      </c>
      <c r="R7" s="393" t="s">
        <v>156</v>
      </c>
      <c r="S7" s="393" t="s">
        <v>157</v>
      </c>
      <c r="T7" s="393" t="s">
        <v>156</v>
      </c>
      <c r="U7" s="393" t="s">
        <v>157</v>
      </c>
      <c r="V7" s="393" t="s">
        <v>156</v>
      </c>
      <c r="W7" s="393" t="s">
        <v>157</v>
      </c>
      <c r="X7" s="393" t="s">
        <v>156</v>
      </c>
      <c r="Y7" s="393" t="s">
        <v>157</v>
      </c>
      <c r="Z7" s="393" t="s">
        <v>156</v>
      </c>
      <c r="AA7" s="393" t="s">
        <v>157</v>
      </c>
      <c r="AB7" s="393" t="s">
        <v>156</v>
      </c>
      <c r="AC7" s="393" t="s">
        <v>157</v>
      </c>
      <c r="AD7" s="393" t="s">
        <v>156</v>
      </c>
      <c r="AE7" s="393" t="s">
        <v>157</v>
      </c>
      <c r="AF7" s="393" t="s">
        <v>156</v>
      </c>
      <c r="AG7" s="393" t="s">
        <v>157</v>
      </c>
      <c r="AH7" s="393" t="s">
        <v>156</v>
      </c>
      <c r="AI7" s="393" t="s">
        <v>157</v>
      </c>
      <c r="AJ7" s="393" t="s">
        <v>156</v>
      </c>
      <c r="AK7" s="393" t="s">
        <v>157</v>
      </c>
      <c r="AL7" s="393" t="s">
        <v>156</v>
      </c>
      <c r="AM7" s="393" t="s">
        <v>157</v>
      </c>
      <c r="AP7" s="399"/>
      <c r="AQ7" s="399"/>
      <c r="AR7" s="399"/>
      <c r="AS7" s="399"/>
    </row>
    <row r="8" spans="1:45" s="406" customFormat="1" ht="21" customHeight="1" x14ac:dyDescent="0.25">
      <c r="A8" s="405" t="s">
        <v>79</v>
      </c>
      <c r="B8" s="267">
        <f>AD8+AH8+L8+X8+Z8+H8+J8+R8+F8+AL8+AF8+N8+T8+V8+AJ8+P8+AB8+D8</f>
        <v>154232588.10000002</v>
      </c>
      <c r="C8" s="267">
        <f>AE8+AI8+M8+Y8+AA8+I8+K8+S8+G8+AM8+AG8+O8+U8+W8+AK8+Q8+AC8+E8</f>
        <v>117162992.5</v>
      </c>
      <c r="D8" s="210">
        <f>[1]Субвенция_факт!H9*1000</f>
        <v>0</v>
      </c>
      <c r="E8" s="1172"/>
      <c r="F8" s="210">
        <f>[1]Субвенция_факт!I9*1000</f>
        <v>1310000</v>
      </c>
      <c r="G8" s="1172">
        <v>981200</v>
      </c>
      <c r="H8" s="210">
        <f>[1]Субвенция_факт!K9*1000</f>
        <v>3394939.1</v>
      </c>
      <c r="I8" s="1172">
        <v>1833500</v>
      </c>
      <c r="J8" s="210">
        <f>[1]Субвенция_факт!L9*1000</f>
        <v>1015090</v>
      </c>
      <c r="K8" s="1172">
        <v>1015090</v>
      </c>
      <c r="L8" s="210">
        <f>[1]Субвенция_факт!M9*1000</f>
        <v>584200</v>
      </c>
      <c r="M8" s="1172">
        <v>444000</v>
      </c>
      <c r="N8" s="210">
        <f>[1]Субвенция_факт!P9*1000</f>
        <v>50250</v>
      </c>
      <c r="O8" s="1172">
        <v>50250</v>
      </c>
      <c r="P8" s="210">
        <f>[1]Субвенция_факт!R9*1000</f>
        <v>0</v>
      </c>
      <c r="Q8" s="1172"/>
      <c r="R8" s="210">
        <f>[1]Субвенция_факт!S9*1000</f>
        <v>1978300</v>
      </c>
      <c r="S8" s="1172">
        <v>1458000</v>
      </c>
      <c r="T8" s="210">
        <f>[1]Субвенция_факт!T9*1000</f>
        <v>546900</v>
      </c>
      <c r="U8" s="1172">
        <v>409875</v>
      </c>
      <c r="V8" s="210">
        <f>[1]Субвенция_факт!U9*1000</f>
        <v>14637714.000000004</v>
      </c>
      <c r="W8" s="1172">
        <v>10364800</v>
      </c>
      <c r="X8" s="210">
        <f>[1]Субвенция_факт!V9*1000</f>
        <v>126953836.00000001</v>
      </c>
      <c r="Y8" s="1172">
        <v>97753500</v>
      </c>
      <c r="Z8" s="210">
        <f>[1]Субвенция_факт!W9*1000</f>
        <v>0</v>
      </c>
      <c r="AA8" s="713"/>
      <c r="AB8" s="210">
        <f>[1]Субвенция_факт!X9*1000</f>
        <v>3000</v>
      </c>
      <c r="AC8" s="1172">
        <v>0</v>
      </c>
      <c r="AD8" s="210">
        <f>[1]Субвенция_факт!Y9*1000</f>
        <v>1786400</v>
      </c>
      <c r="AE8" s="1172">
        <v>1472000</v>
      </c>
      <c r="AF8" s="210">
        <f>[1]Субвенция_факт!Z9*1000</f>
        <v>0</v>
      </c>
      <c r="AG8" s="713"/>
      <c r="AH8" s="210">
        <f>[1]Субвенция_факт!AA9*1000</f>
        <v>587800</v>
      </c>
      <c r="AI8" s="1172">
        <v>490000</v>
      </c>
      <c r="AJ8" s="210">
        <f>[1]Субвенция_факт!AB9*1000</f>
        <v>595989</v>
      </c>
      <c r="AK8" s="1172">
        <v>299650</v>
      </c>
      <c r="AL8" s="210">
        <f>[1]Субвенция_факт!AH9*1000</f>
        <v>788170</v>
      </c>
      <c r="AM8" s="1172">
        <v>591127.5</v>
      </c>
      <c r="AP8" s="617"/>
      <c r="AQ8" s="618"/>
      <c r="AR8" s="618"/>
      <c r="AS8" s="618"/>
    </row>
    <row r="9" spans="1:45" ht="21" customHeight="1" x14ac:dyDescent="0.25">
      <c r="A9" s="405" t="s">
        <v>80</v>
      </c>
      <c r="B9" s="267">
        <f t="shared" ref="B9:C27" si="0">AD9+AH9+L9+X9+Z9+H9+J9+R9+F9+AL9+AF9+N9+T9+V9+AJ9+P9+AB9+D9</f>
        <v>617232016.86000001</v>
      </c>
      <c r="C9" s="267">
        <f t="shared" si="0"/>
        <v>471566524.5</v>
      </c>
      <c r="D9" s="210">
        <f>[1]Субвенция_факт!H10*1000</f>
        <v>0</v>
      </c>
      <c r="E9" s="1172"/>
      <c r="F9" s="210">
        <f>[1]Субвенция_факт!I10*1000</f>
        <v>1500000</v>
      </c>
      <c r="G9" s="1172">
        <v>1146000</v>
      </c>
      <c r="H9" s="210">
        <f>[1]Субвенция_факт!K10*1000</f>
        <v>23348024.860000003</v>
      </c>
      <c r="I9" s="1172">
        <v>19500000</v>
      </c>
      <c r="J9" s="210">
        <f>[1]Субвенция_факт!L10*1000</f>
        <v>7418920</v>
      </c>
      <c r="K9" s="1172">
        <v>7418920</v>
      </c>
      <c r="L9" s="210">
        <f>[1]Субвенция_факт!M10*1000</f>
        <v>1106200</v>
      </c>
      <c r="M9" s="1172">
        <v>879800</v>
      </c>
      <c r="N9" s="210">
        <f>[1]Субвенция_факт!P10*1000</f>
        <v>50250</v>
      </c>
      <c r="O9" s="1172">
        <v>0</v>
      </c>
      <c r="P9" s="210">
        <f>[1]Субвенция_факт!R10*1000</f>
        <v>2765760</v>
      </c>
      <c r="Q9" s="1172">
        <v>2072000</v>
      </c>
      <c r="R9" s="210">
        <f>[1]Субвенция_факт!S10*1000</f>
        <v>6371700</v>
      </c>
      <c r="S9" s="1172">
        <v>5000000</v>
      </c>
      <c r="T9" s="210">
        <f>[1]Субвенция_факт!T10*1000</f>
        <v>527100</v>
      </c>
      <c r="U9" s="1172">
        <v>451700</v>
      </c>
      <c r="V9" s="210">
        <f>[1]Субвенция_факт!U10*1000</f>
        <v>170003650</v>
      </c>
      <c r="W9" s="1172">
        <v>126000000</v>
      </c>
      <c r="X9" s="210">
        <f>[1]Субвенция_факт!V10*1000</f>
        <v>399192640</v>
      </c>
      <c r="Y9" s="1172">
        <v>305000000</v>
      </c>
      <c r="Z9" s="210">
        <f>[1]Субвенция_факт!W10*1000</f>
        <v>0</v>
      </c>
      <c r="AA9" s="713"/>
      <c r="AB9" s="210">
        <f>[1]Субвенция_факт!X10*1000</f>
        <v>500</v>
      </c>
      <c r="AC9" s="1172">
        <v>500</v>
      </c>
      <c r="AD9" s="210">
        <f>[1]Субвенция_факт!Y10*1000</f>
        <v>2387000</v>
      </c>
      <c r="AE9" s="1172">
        <v>1972000</v>
      </c>
      <c r="AF9" s="210">
        <f>[1]Субвенция_факт!Z10*1000</f>
        <v>0</v>
      </c>
      <c r="AG9" s="713"/>
      <c r="AH9" s="210">
        <f>[1]Субвенция_факт!AA10*1000</f>
        <v>1074000</v>
      </c>
      <c r="AI9" s="1172">
        <v>850000</v>
      </c>
      <c r="AJ9" s="210">
        <f>[1]Субвенция_факт!AB10*1000</f>
        <v>643602</v>
      </c>
      <c r="AK9" s="1172">
        <v>643602</v>
      </c>
      <c r="AL9" s="210">
        <f>[1]Субвенция_факт!AH10*1000</f>
        <v>842670</v>
      </c>
      <c r="AM9" s="1172">
        <v>632002.5</v>
      </c>
      <c r="AP9" s="407"/>
      <c r="AQ9" s="266"/>
      <c r="AR9" s="266"/>
      <c r="AS9" s="266"/>
    </row>
    <row r="10" spans="1:45" ht="21" customHeight="1" x14ac:dyDescent="0.25">
      <c r="A10" s="405" t="s">
        <v>81</v>
      </c>
      <c r="B10" s="267">
        <f t="shared" si="0"/>
        <v>345777898.29000002</v>
      </c>
      <c r="C10" s="267">
        <f t="shared" si="0"/>
        <v>257726199.53</v>
      </c>
      <c r="D10" s="210">
        <f>[1]Субвенция_факт!H11*1000</f>
        <v>0</v>
      </c>
      <c r="E10" s="1172"/>
      <c r="F10" s="210">
        <f>[1]Субвенция_факт!I11*1000</f>
        <v>950000</v>
      </c>
      <c r="G10" s="1172">
        <v>714000</v>
      </c>
      <c r="H10" s="210">
        <f>[1]Субвенция_факт!K11*1000</f>
        <v>7176760.29</v>
      </c>
      <c r="I10" s="1172">
        <v>4800000</v>
      </c>
      <c r="J10" s="210">
        <f>[1]Субвенция_факт!L11*1000</f>
        <v>3096340</v>
      </c>
      <c r="K10" s="1172">
        <v>2728830</v>
      </c>
      <c r="L10" s="210">
        <f>[1]Субвенция_факт!M11*1000</f>
        <v>1061600</v>
      </c>
      <c r="M10" s="1172">
        <v>810000</v>
      </c>
      <c r="N10" s="210">
        <f>[1]Субвенция_факт!P11*1000</f>
        <v>50250</v>
      </c>
      <c r="O10" s="1172">
        <v>0</v>
      </c>
      <c r="P10" s="210">
        <f>[1]Субвенция_факт!R11*1000</f>
        <v>675360</v>
      </c>
      <c r="Q10" s="1172">
        <v>506400</v>
      </c>
      <c r="R10" s="210">
        <f>[1]Субвенция_факт!S11*1000</f>
        <v>2584100</v>
      </c>
      <c r="S10" s="1172">
        <v>1935000</v>
      </c>
      <c r="T10" s="210">
        <f>[1]Субвенция_факт!T11*1000</f>
        <v>548100</v>
      </c>
      <c r="U10" s="1172">
        <v>410375</v>
      </c>
      <c r="V10" s="210">
        <f>[1]Субвенция_факт!U11*1000</f>
        <v>123828650.00000001</v>
      </c>
      <c r="W10" s="1172">
        <v>90800000</v>
      </c>
      <c r="X10" s="210">
        <f>[1]Субвенция_факт!V11*1000</f>
        <v>200973760</v>
      </c>
      <c r="Y10" s="1172">
        <v>151300000</v>
      </c>
      <c r="Z10" s="210">
        <f>[1]Субвенция_факт!W11*1000</f>
        <v>0</v>
      </c>
      <c r="AA10" s="713"/>
      <c r="AB10" s="210">
        <f>[1]Субвенция_факт!X11*1000</f>
        <v>4000</v>
      </c>
      <c r="AC10" s="1172">
        <v>0</v>
      </c>
      <c r="AD10" s="210">
        <f>[1]Субвенция_факт!Y11*1000</f>
        <v>2356450</v>
      </c>
      <c r="AE10" s="1172">
        <v>1962000</v>
      </c>
      <c r="AF10" s="210">
        <f>[1]Субвенция_факт!Z11*1000</f>
        <v>0</v>
      </c>
      <c r="AG10" s="713"/>
      <c r="AH10" s="210">
        <f>[1]Субвенция_факт!AA11*1000</f>
        <v>592800</v>
      </c>
      <c r="AI10" s="1172">
        <v>441000</v>
      </c>
      <c r="AJ10" s="210">
        <f>[1]Субвенция_факт!AB11*1000</f>
        <v>979558</v>
      </c>
      <c r="AK10" s="1172">
        <v>643467.03</v>
      </c>
      <c r="AL10" s="210">
        <f>[1]Субвенция_факт!AH11*1000</f>
        <v>900170</v>
      </c>
      <c r="AM10" s="1172">
        <v>675127.5</v>
      </c>
      <c r="AP10" s="407"/>
      <c r="AQ10" s="266"/>
      <c r="AR10" s="266"/>
      <c r="AS10" s="266"/>
    </row>
    <row r="11" spans="1:45" ht="21" customHeight="1" x14ac:dyDescent="0.25">
      <c r="A11" s="405" t="s">
        <v>82</v>
      </c>
      <c r="B11" s="267">
        <f t="shared" si="0"/>
        <v>342630844.93000001</v>
      </c>
      <c r="C11" s="267">
        <f t="shared" si="0"/>
        <v>267232518.09999999</v>
      </c>
      <c r="D11" s="210">
        <f>[1]Субвенция_факт!H12*1000</f>
        <v>0</v>
      </c>
      <c r="E11" s="1172"/>
      <c r="F11" s="210">
        <f>[1]Субвенция_факт!I12*1000</f>
        <v>2380000</v>
      </c>
      <c r="G11" s="1172">
        <v>1588300</v>
      </c>
      <c r="H11" s="210">
        <f>[1]Субвенция_факт!K12*1000</f>
        <v>7748626.9299999997</v>
      </c>
      <c r="I11" s="1172">
        <v>5000000</v>
      </c>
      <c r="J11" s="210">
        <f>[1]Субвенция_факт!L12*1000</f>
        <v>3331440</v>
      </c>
      <c r="K11" s="1172">
        <v>3150000</v>
      </c>
      <c r="L11" s="210">
        <f>[1]Субвенция_факт!M12*1000</f>
        <v>1087200</v>
      </c>
      <c r="M11" s="1172">
        <v>1087200</v>
      </c>
      <c r="N11" s="210">
        <f>[1]Субвенция_факт!P12*1000</f>
        <v>150750</v>
      </c>
      <c r="O11" s="1172">
        <v>0</v>
      </c>
      <c r="P11" s="210">
        <f>[1]Субвенция_факт!R12*1000</f>
        <v>96480</v>
      </c>
      <c r="Q11" s="1172">
        <v>80000</v>
      </c>
      <c r="R11" s="210">
        <f>[1]Субвенция_факт!S12*1000</f>
        <v>3235500</v>
      </c>
      <c r="S11" s="1172">
        <v>3219500</v>
      </c>
      <c r="T11" s="210">
        <f>[1]Субвенция_факт!T12*1000</f>
        <v>545800</v>
      </c>
      <c r="U11" s="1172">
        <v>409415</v>
      </c>
      <c r="V11" s="210">
        <f>[1]Субвенция_факт!U12*1000</f>
        <v>37734117</v>
      </c>
      <c r="W11" s="1172">
        <v>29400000</v>
      </c>
      <c r="X11" s="210">
        <f>[1]Субвенция_факт!V12*1000</f>
        <v>282679523</v>
      </c>
      <c r="Y11" s="1172">
        <v>220500000</v>
      </c>
      <c r="Z11" s="210">
        <f>[1]Субвенция_факт!W12*1000</f>
        <v>0</v>
      </c>
      <c r="AA11" s="713"/>
      <c r="AB11" s="210">
        <f>[1]Субвенция_факт!X12*1000</f>
        <v>4000</v>
      </c>
      <c r="AC11" s="1172">
        <v>0</v>
      </c>
      <c r="AD11" s="210">
        <f>[1]Субвенция_факт!Y12*1000</f>
        <v>1748800</v>
      </c>
      <c r="AE11" s="1172">
        <v>1461000</v>
      </c>
      <c r="AF11" s="210">
        <f>[1]Субвенция_факт!Z12*1000</f>
        <v>0</v>
      </c>
      <c r="AG11" s="713"/>
      <c r="AH11" s="210">
        <f>[1]Субвенция_факт!AA12*1000</f>
        <v>585000</v>
      </c>
      <c r="AI11" s="1172">
        <v>440000</v>
      </c>
      <c r="AJ11" s="210">
        <f>[1]Субвенция_факт!AB12*1000</f>
        <v>432138</v>
      </c>
      <c r="AK11" s="1172">
        <v>243500.6</v>
      </c>
      <c r="AL11" s="210">
        <f>[1]Субвенция_факт!AH12*1000</f>
        <v>871470</v>
      </c>
      <c r="AM11" s="1172">
        <v>653602.5</v>
      </c>
      <c r="AP11" s="407"/>
      <c r="AQ11" s="266"/>
      <c r="AR11" s="266"/>
      <c r="AS11" s="266"/>
    </row>
    <row r="12" spans="1:45" ht="21" customHeight="1" x14ac:dyDescent="0.25">
      <c r="A12" s="405" t="s">
        <v>83</v>
      </c>
      <c r="B12" s="267">
        <f t="shared" si="0"/>
        <v>323298391.31</v>
      </c>
      <c r="C12" s="267">
        <f t="shared" si="0"/>
        <v>236997060.81999999</v>
      </c>
      <c r="D12" s="210">
        <f>[1]Субвенция_факт!H13*1000</f>
        <v>0</v>
      </c>
      <c r="E12" s="1172"/>
      <c r="F12" s="210">
        <f>[1]Субвенция_факт!I13*1000</f>
        <v>2258000</v>
      </c>
      <c r="G12" s="1172">
        <v>1670500</v>
      </c>
      <c r="H12" s="210">
        <f>[1]Субвенция_факт!K13*1000</f>
        <v>6631311.3099999996</v>
      </c>
      <c r="I12" s="1172">
        <v>5500000</v>
      </c>
      <c r="J12" s="210">
        <f>[1]Субвенция_факт!L13*1000</f>
        <v>2163020</v>
      </c>
      <c r="K12" s="1172">
        <v>2163020</v>
      </c>
      <c r="L12" s="210">
        <f>[1]Субвенция_факт!M13*1000</f>
        <v>1248500</v>
      </c>
      <c r="M12" s="1172">
        <v>962000</v>
      </c>
      <c r="N12" s="210">
        <f>[1]Субвенция_факт!P13*1000</f>
        <v>0</v>
      </c>
      <c r="O12" s="1172">
        <v>0</v>
      </c>
      <c r="P12" s="210">
        <f>[1]Субвенция_факт!R13*1000</f>
        <v>1149720</v>
      </c>
      <c r="Q12" s="1172">
        <v>868000</v>
      </c>
      <c r="R12" s="210">
        <f>[1]Субвенция_факт!S13*1000</f>
        <v>2543200</v>
      </c>
      <c r="S12" s="1172">
        <v>2527200</v>
      </c>
      <c r="T12" s="210">
        <f>[1]Субвенция_факт!T13*1000</f>
        <v>532500</v>
      </c>
      <c r="U12" s="1172">
        <v>503125</v>
      </c>
      <c r="V12" s="210">
        <f>[1]Субвенция_факт!U13*1000</f>
        <v>79055189.999999985</v>
      </c>
      <c r="W12" s="1172">
        <v>57000000</v>
      </c>
      <c r="X12" s="210">
        <f>[1]Субвенция_факт!V13*1000</f>
        <v>224179530</v>
      </c>
      <c r="Y12" s="1172">
        <v>163000000</v>
      </c>
      <c r="Z12" s="210">
        <f>[1]Субвенция_факт!W13*1000</f>
        <v>0</v>
      </c>
      <c r="AA12" s="713"/>
      <c r="AB12" s="210">
        <f>[1]Субвенция_факт!X13*1000</f>
        <v>3500</v>
      </c>
      <c r="AC12" s="1172">
        <v>3500</v>
      </c>
      <c r="AD12" s="210">
        <f>[1]Субвенция_факт!Y13*1000</f>
        <v>1677450</v>
      </c>
      <c r="AE12" s="1172">
        <v>1419000</v>
      </c>
      <c r="AF12" s="210">
        <f>[1]Субвенция_факт!Z13*1000</f>
        <v>0</v>
      </c>
      <c r="AG12" s="713"/>
      <c r="AH12" s="210">
        <f>[1]Субвенция_факт!AA13*1000</f>
        <v>598700</v>
      </c>
      <c r="AI12" s="1172">
        <v>598700</v>
      </c>
      <c r="AJ12" s="210">
        <f>[1]Субвенция_факт!AB13*1000</f>
        <v>405500</v>
      </c>
      <c r="AK12" s="1172">
        <v>142813.32</v>
      </c>
      <c r="AL12" s="210">
        <f>[1]Субвенция_факт!AH13*1000</f>
        <v>852270</v>
      </c>
      <c r="AM12" s="1172">
        <v>639202.5</v>
      </c>
      <c r="AP12" s="407"/>
      <c r="AQ12" s="266"/>
      <c r="AR12" s="266"/>
      <c r="AS12" s="266"/>
    </row>
    <row r="13" spans="1:45" ht="21" customHeight="1" x14ac:dyDescent="0.25">
      <c r="A13" s="405" t="s">
        <v>84</v>
      </c>
      <c r="B13" s="267">
        <f t="shared" si="0"/>
        <v>216466557.61000004</v>
      </c>
      <c r="C13" s="267">
        <f t="shared" si="0"/>
        <v>155364250.16</v>
      </c>
      <c r="D13" s="210">
        <f>[1]Субвенция_факт!H14*1000</f>
        <v>0</v>
      </c>
      <c r="E13" s="1172"/>
      <c r="F13" s="210">
        <f>[1]Субвенция_факт!I14*1000</f>
        <v>1672000</v>
      </c>
      <c r="G13" s="1172">
        <v>1117300</v>
      </c>
      <c r="H13" s="210">
        <f>[1]Субвенция_факт!K14*1000</f>
        <v>4871325.6100000003</v>
      </c>
      <c r="I13" s="1172">
        <v>2980000</v>
      </c>
      <c r="J13" s="210">
        <f>[1]Субвенция_факт!L14*1000</f>
        <v>2043840</v>
      </c>
      <c r="K13" s="1172">
        <v>2043840</v>
      </c>
      <c r="L13" s="210">
        <f>[1]Субвенция_факт!M14*1000</f>
        <v>588000</v>
      </c>
      <c r="M13" s="1172">
        <v>440000</v>
      </c>
      <c r="N13" s="210">
        <f>[1]Субвенция_факт!P14*1000</f>
        <v>100500</v>
      </c>
      <c r="O13" s="1172">
        <v>100500</v>
      </c>
      <c r="P13" s="210">
        <f>[1]Субвенция_факт!R14*1000</f>
        <v>385919.99999999994</v>
      </c>
      <c r="Q13" s="1172">
        <v>289920</v>
      </c>
      <c r="R13" s="210">
        <f>[1]Субвенция_факт!S14*1000</f>
        <v>1967100</v>
      </c>
      <c r="S13" s="1172">
        <v>1770000</v>
      </c>
      <c r="T13" s="210">
        <f>[1]Субвенция_факт!T14*1000</f>
        <v>549100</v>
      </c>
      <c r="U13" s="1172">
        <v>471274</v>
      </c>
      <c r="V13" s="210">
        <f>[1]Субвенция_факт!U14*1000</f>
        <v>28754750</v>
      </c>
      <c r="W13" s="1172">
        <v>19450000</v>
      </c>
      <c r="X13" s="210">
        <f>[1]Субвенция_факт!V14*1000</f>
        <v>171543070.00000003</v>
      </c>
      <c r="Y13" s="1172">
        <v>123700000</v>
      </c>
      <c r="Z13" s="210">
        <f>[1]Субвенция_факт!W14*1000</f>
        <v>0</v>
      </c>
      <c r="AA13" s="713"/>
      <c r="AB13" s="210">
        <f>[1]Субвенция_факт!X14*1000</f>
        <v>2000</v>
      </c>
      <c r="AC13" s="1172">
        <v>0</v>
      </c>
      <c r="AD13" s="210">
        <f>[1]Субвенция_факт!Y14*1000</f>
        <v>2063000</v>
      </c>
      <c r="AE13" s="1172">
        <v>1612000</v>
      </c>
      <c r="AF13" s="210">
        <f>[1]Субвенция_факт!Z14*1000</f>
        <v>0</v>
      </c>
      <c r="AG13" s="713"/>
      <c r="AH13" s="210">
        <f>[1]Субвенция_факт!AA14*1000</f>
        <v>573500</v>
      </c>
      <c r="AI13" s="1172">
        <v>540000</v>
      </c>
      <c r="AJ13" s="210">
        <f>[1]Субвенция_факт!AB14*1000</f>
        <v>553082</v>
      </c>
      <c r="AK13" s="1172">
        <v>249888.66</v>
      </c>
      <c r="AL13" s="210">
        <f>[1]Субвенция_факт!AH14*1000</f>
        <v>799370</v>
      </c>
      <c r="AM13" s="1172">
        <v>599527.5</v>
      </c>
      <c r="AP13" s="407"/>
      <c r="AQ13" s="266"/>
      <c r="AR13" s="266"/>
      <c r="AS13" s="266"/>
    </row>
    <row r="14" spans="1:45" ht="21" customHeight="1" x14ac:dyDescent="0.25">
      <c r="A14" s="405" t="s">
        <v>85</v>
      </c>
      <c r="B14" s="267">
        <f t="shared" si="0"/>
        <v>329701224.75</v>
      </c>
      <c r="C14" s="267">
        <f t="shared" si="0"/>
        <v>259589412.5</v>
      </c>
      <c r="D14" s="210">
        <f>[1]Субвенция_факт!H15*1000</f>
        <v>0</v>
      </c>
      <c r="E14" s="1172"/>
      <c r="F14" s="210">
        <f>[1]Субвенция_факт!I15*1000</f>
        <v>1900000</v>
      </c>
      <c r="G14" s="1172">
        <v>1464300</v>
      </c>
      <c r="H14" s="210">
        <f>[1]Субвенция_факт!K15*1000</f>
        <v>6326391.75</v>
      </c>
      <c r="I14" s="1172">
        <v>5450000</v>
      </c>
      <c r="J14" s="210">
        <f>[1]Субвенция_факт!L15*1000</f>
        <v>2186600</v>
      </c>
      <c r="K14" s="1172">
        <v>2186600</v>
      </c>
      <c r="L14" s="210">
        <f>[1]Субвенция_факт!M15*1000</f>
        <v>1106900</v>
      </c>
      <c r="M14" s="1172">
        <v>1000000</v>
      </c>
      <c r="N14" s="210">
        <f>[1]Субвенция_факт!P15*1000</f>
        <v>150750</v>
      </c>
      <c r="O14" s="1172">
        <v>100500</v>
      </c>
      <c r="P14" s="210">
        <f>[1]Субвенция_факт!R15*1000</f>
        <v>192959.99999999997</v>
      </c>
      <c r="Q14" s="1172">
        <v>144000</v>
      </c>
      <c r="R14" s="210">
        <f>[1]Субвенция_факт!S15*1000</f>
        <v>3119500</v>
      </c>
      <c r="S14" s="1172">
        <v>2700000</v>
      </c>
      <c r="T14" s="210">
        <f>[1]Субвенция_факт!T15*1000</f>
        <v>543400</v>
      </c>
      <c r="U14" s="1172">
        <v>406415</v>
      </c>
      <c r="V14" s="210">
        <f>[1]Субвенция_факт!U15*1000</f>
        <v>87057800</v>
      </c>
      <c r="W14" s="1172">
        <v>67300000</v>
      </c>
      <c r="X14" s="210">
        <f>[1]Субвенция_факт!V15*1000</f>
        <v>223539820</v>
      </c>
      <c r="Y14" s="1172">
        <v>176200000</v>
      </c>
      <c r="Z14" s="210">
        <f>[1]Субвенция_факт!W15*1000</f>
        <v>0</v>
      </c>
      <c r="AA14" s="713"/>
      <c r="AB14" s="210">
        <f>[1]Субвенция_факт!X15*1000</f>
        <v>1500</v>
      </c>
      <c r="AC14" s="1172">
        <v>0</v>
      </c>
      <c r="AD14" s="210">
        <f>[1]Субвенция_факт!Y15*1000</f>
        <v>1558700</v>
      </c>
      <c r="AE14" s="1172">
        <v>1274000</v>
      </c>
      <c r="AF14" s="210">
        <f>[1]Субвенция_факт!Z15*1000</f>
        <v>0</v>
      </c>
      <c r="AG14" s="713"/>
      <c r="AH14" s="210">
        <f>[1]Субвенция_факт!AA15*1000</f>
        <v>576400</v>
      </c>
      <c r="AI14" s="1172">
        <v>432000</v>
      </c>
      <c r="AJ14" s="210">
        <f>[1]Субвенция_факт!AB15*1000</f>
        <v>652333.00000000012</v>
      </c>
      <c r="AK14" s="1172">
        <v>340470</v>
      </c>
      <c r="AL14" s="210">
        <f>[1]Субвенция_факт!AH15*1000</f>
        <v>788170</v>
      </c>
      <c r="AM14" s="1172">
        <v>591127.5</v>
      </c>
      <c r="AP14" s="407"/>
      <c r="AQ14" s="266"/>
      <c r="AR14" s="266"/>
      <c r="AS14" s="266"/>
    </row>
    <row r="15" spans="1:45" ht="21" customHeight="1" x14ac:dyDescent="0.25">
      <c r="A15" s="405" t="s">
        <v>86</v>
      </c>
      <c r="B15" s="267">
        <f t="shared" si="0"/>
        <v>277296791.22999996</v>
      </c>
      <c r="C15" s="267">
        <f t="shared" si="0"/>
        <v>232551059.5</v>
      </c>
      <c r="D15" s="210">
        <f>[1]Субвенция_факт!H16*1000</f>
        <v>0</v>
      </c>
      <c r="E15" s="1172"/>
      <c r="F15" s="210">
        <f>[1]Субвенция_факт!I16*1000</f>
        <v>700000</v>
      </c>
      <c r="G15" s="1172">
        <v>500300</v>
      </c>
      <c r="H15" s="210">
        <f>[1]Субвенция_факт!K16*1000</f>
        <v>7718703.2300000004</v>
      </c>
      <c r="I15" s="1172">
        <v>5040000</v>
      </c>
      <c r="J15" s="210">
        <f>[1]Субвенция_факт!L16*1000</f>
        <v>3312630</v>
      </c>
      <c r="K15" s="1172">
        <v>3312630</v>
      </c>
      <c r="L15" s="210">
        <f>[1]Субвенция_факт!M16*1000</f>
        <v>1272500</v>
      </c>
      <c r="M15" s="1172">
        <v>990000</v>
      </c>
      <c r="N15" s="210">
        <f>[1]Субвенция_факт!P16*1000</f>
        <v>50250</v>
      </c>
      <c r="O15" s="1172">
        <v>50250</v>
      </c>
      <c r="P15" s="210">
        <f>[1]Субвенция_факт!R16*1000</f>
        <v>699480</v>
      </c>
      <c r="Q15" s="1172">
        <v>504000</v>
      </c>
      <c r="R15" s="210">
        <f>[1]Субвенция_факт!S16*1000</f>
        <v>2527300</v>
      </c>
      <c r="S15" s="1172">
        <v>1765412</v>
      </c>
      <c r="T15" s="210">
        <f>[1]Субвенция_факт!T16*1000</f>
        <v>546100</v>
      </c>
      <c r="U15" s="1172">
        <v>409540</v>
      </c>
      <c r="V15" s="210">
        <f>[1]Субвенция_факт!U16*1000</f>
        <v>73418969.999999985</v>
      </c>
      <c r="W15" s="1172">
        <v>55500000</v>
      </c>
      <c r="X15" s="210">
        <f>[1]Субвенция_факт!V16*1000</f>
        <v>183479840</v>
      </c>
      <c r="Y15" s="1172">
        <v>162000000</v>
      </c>
      <c r="Z15" s="210">
        <f>[1]Субвенция_факт!W16*1000</f>
        <v>0</v>
      </c>
      <c r="AA15" s="713"/>
      <c r="AB15" s="210">
        <f>[1]Субвенция_факт!X16*1000</f>
        <v>3500</v>
      </c>
      <c r="AC15" s="1172">
        <v>0</v>
      </c>
      <c r="AD15" s="210">
        <f>[1]Субвенция_факт!Y16*1000</f>
        <v>1829000</v>
      </c>
      <c r="AE15" s="1172">
        <v>1390000</v>
      </c>
      <c r="AF15" s="210">
        <f>[1]Субвенция_факт!Z16*1000</f>
        <v>0</v>
      </c>
      <c r="AG15" s="713"/>
      <c r="AH15" s="210">
        <f>[1]Субвенция_факт!AA16*1000</f>
        <v>586000</v>
      </c>
      <c r="AI15" s="1172">
        <v>449800</v>
      </c>
      <c r="AJ15" s="210">
        <f>[1]Субвенция_факт!AB16*1000</f>
        <v>300348</v>
      </c>
      <c r="AK15" s="1172">
        <v>0</v>
      </c>
      <c r="AL15" s="210">
        <f>[1]Субвенция_факт!AH16*1000</f>
        <v>852170</v>
      </c>
      <c r="AM15" s="1172">
        <v>639127.5</v>
      </c>
      <c r="AP15" s="407"/>
      <c r="AQ15" s="266"/>
      <c r="AR15" s="266"/>
      <c r="AS15" s="266"/>
    </row>
    <row r="16" spans="1:45" ht="21" customHeight="1" x14ac:dyDescent="0.25">
      <c r="A16" s="405" t="s">
        <v>87</v>
      </c>
      <c r="B16" s="267">
        <f t="shared" si="0"/>
        <v>199378499.40000001</v>
      </c>
      <c r="C16" s="267">
        <f t="shared" si="0"/>
        <v>149305962.5</v>
      </c>
      <c r="D16" s="210">
        <f>[1]Субвенция_факт!H17*1000</f>
        <v>0</v>
      </c>
      <c r="E16" s="1172"/>
      <c r="F16" s="210">
        <f>[1]Субвенция_факт!I17*1000</f>
        <v>1660000</v>
      </c>
      <c r="G16" s="1172">
        <v>1139874</v>
      </c>
      <c r="H16" s="210">
        <f>[1]Субвенция_факт!K17*1000</f>
        <v>4266748.4000000004</v>
      </c>
      <c r="I16" s="1172">
        <v>2800000</v>
      </c>
      <c r="J16" s="210">
        <f>[1]Субвенция_факт!L17*1000</f>
        <v>1930840.0000000002</v>
      </c>
      <c r="K16" s="1172">
        <v>1930840</v>
      </c>
      <c r="L16" s="210">
        <f>[1]Субвенция_факт!M17*1000</f>
        <v>581900</v>
      </c>
      <c r="M16" s="1172">
        <v>450000</v>
      </c>
      <c r="N16" s="210">
        <f>[1]Субвенция_факт!P17*1000</f>
        <v>0</v>
      </c>
      <c r="O16" s="1172">
        <v>0</v>
      </c>
      <c r="P16" s="210">
        <f>[1]Субвенция_факт!R17*1000</f>
        <v>0</v>
      </c>
      <c r="Q16" s="1172"/>
      <c r="R16" s="210">
        <f>[1]Субвенция_факт!S17*1000</f>
        <v>1963600</v>
      </c>
      <c r="S16" s="1172">
        <v>1350000</v>
      </c>
      <c r="T16" s="210">
        <f>[1]Субвенция_факт!T17*1000</f>
        <v>560000</v>
      </c>
      <c r="U16" s="1172">
        <v>421335</v>
      </c>
      <c r="V16" s="210">
        <f>[1]Субвенция_факт!U17*1000</f>
        <v>34936960</v>
      </c>
      <c r="W16" s="1172">
        <v>23500000</v>
      </c>
      <c r="X16" s="210">
        <f>[1]Субвенция_факт!V17*1000</f>
        <v>149984470</v>
      </c>
      <c r="Y16" s="1172">
        <v>115000000</v>
      </c>
      <c r="Z16" s="210">
        <f>[1]Субвенция_факт!W17*1000</f>
        <v>0</v>
      </c>
      <c r="AA16" s="713"/>
      <c r="AB16" s="210">
        <f>[1]Субвенция_факт!X17*1000</f>
        <v>5000</v>
      </c>
      <c r="AC16" s="1172">
        <v>0</v>
      </c>
      <c r="AD16" s="210">
        <f>[1]Субвенция_факт!Y17*1000</f>
        <v>1865000</v>
      </c>
      <c r="AE16" s="1172">
        <v>1566000</v>
      </c>
      <c r="AF16" s="210">
        <f>[1]Субвенция_факт!Z17*1000</f>
        <v>0</v>
      </c>
      <c r="AG16" s="713"/>
      <c r="AH16" s="210">
        <f>[1]Субвенция_факт!AA17*1000</f>
        <v>573700</v>
      </c>
      <c r="AI16" s="1172">
        <v>470000</v>
      </c>
      <c r="AJ16" s="210">
        <f>[1]Субвенция_факт!AB17*1000</f>
        <v>260510.99999999997</v>
      </c>
      <c r="AK16" s="1172">
        <v>85586</v>
      </c>
      <c r="AL16" s="210">
        <f>[1]Субвенция_факт!AH17*1000</f>
        <v>789770</v>
      </c>
      <c r="AM16" s="1172">
        <v>592327.5</v>
      </c>
      <c r="AP16" s="407"/>
      <c r="AQ16" s="266"/>
      <c r="AR16" s="266"/>
      <c r="AS16" s="266"/>
    </row>
    <row r="17" spans="1:45" ht="21" customHeight="1" x14ac:dyDescent="0.25">
      <c r="A17" s="405" t="s">
        <v>88</v>
      </c>
      <c r="B17" s="267">
        <f t="shared" si="0"/>
        <v>170615301.40000001</v>
      </c>
      <c r="C17" s="267">
        <f t="shared" si="0"/>
        <v>123391927.5</v>
      </c>
      <c r="D17" s="210">
        <f>[1]Субвенция_факт!H18*1000</f>
        <v>0</v>
      </c>
      <c r="E17" s="1172"/>
      <c r="F17" s="210">
        <f>[1]Субвенция_факт!I18*1000</f>
        <v>1247000</v>
      </c>
      <c r="G17" s="1172">
        <v>872000</v>
      </c>
      <c r="H17" s="210">
        <f>[1]Субвенция_факт!K18*1000</f>
        <v>4034042.4000000004</v>
      </c>
      <c r="I17" s="1172">
        <v>2300000</v>
      </c>
      <c r="J17" s="210">
        <f>[1]Субвенция_факт!L18*1000</f>
        <v>1563550</v>
      </c>
      <c r="K17" s="1172">
        <v>1422770</v>
      </c>
      <c r="L17" s="210">
        <f>[1]Субвенция_факт!M18*1000</f>
        <v>689000</v>
      </c>
      <c r="M17" s="1172">
        <v>600000</v>
      </c>
      <c r="N17" s="210">
        <f>[1]Субвенция_факт!P18*1000</f>
        <v>0</v>
      </c>
      <c r="O17" s="1172"/>
      <c r="P17" s="210">
        <f>[1]Субвенция_факт!R18*1000</f>
        <v>1085400</v>
      </c>
      <c r="Q17" s="1172">
        <v>1085400</v>
      </c>
      <c r="R17" s="210">
        <f>[1]Субвенция_факт!S18*1000</f>
        <v>1951100</v>
      </c>
      <c r="S17" s="1172">
        <v>1380000</v>
      </c>
      <c r="T17" s="210">
        <f>[1]Субвенция_факт!T18*1000</f>
        <v>539700</v>
      </c>
      <c r="U17" s="1172">
        <v>402875</v>
      </c>
      <c r="V17" s="210">
        <f>[1]Субвенция_факт!U18*1000</f>
        <v>47463340</v>
      </c>
      <c r="W17" s="1172">
        <v>35000000</v>
      </c>
      <c r="X17" s="210">
        <f>[1]Субвенция_факт!V18*1000</f>
        <v>108046430</v>
      </c>
      <c r="Y17" s="1172">
        <v>77500000</v>
      </c>
      <c r="Z17" s="210">
        <f>[1]Субвенция_факт!W18*1000</f>
        <v>0</v>
      </c>
      <c r="AA17" s="713"/>
      <c r="AB17" s="210">
        <f>[1]Субвенция_факт!X18*1000</f>
        <v>3000</v>
      </c>
      <c r="AC17" s="1172">
        <v>0</v>
      </c>
      <c r="AD17" s="210">
        <f>[1]Субвенция_факт!Y18*1000</f>
        <v>1763600</v>
      </c>
      <c r="AE17" s="1172">
        <v>1670000</v>
      </c>
      <c r="AF17" s="210">
        <f>[1]Субвенция_факт!Z18*1000</f>
        <v>0</v>
      </c>
      <c r="AG17" s="713"/>
      <c r="AH17" s="210">
        <f>[1]Субвенция_факт!AA18*1000</f>
        <v>576300</v>
      </c>
      <c r="AI17" s="1172">
        <v>400000</v>
      </c>
      <c r="AJ17" s="210">
        <f>[1]Субвенция_факт!AB18*1000</f>
        <v>891869</v>
      </c>
      <c r="AK17" s="1172">
        <v>188155</v>
      </c>
      <c r="AL17" s="210">
        <f>[1]Субвенция_факт!AH18*1000</f>
        <v>760970</v>
      </c>
      <c r="AM17" s="1172">
        <v>570727.5</v>
      </c>
      <c r="AP17" s="407"/>
      <c r="AQ17" s="266"/>
      <c r="AR17" s="266"/>
      <c r="AS17" s="266"/>
    </row>
    <row r="18" spans="1:45" ht="21" customHeight="1" x14ac:dyDescent="0.25">
      <c r="A18" s="405" t="s">
        <v>89</v>
      </c>
      <c r="B18" s="267">
        <f t="shared" si="0"/>
        <v>400643200.59000003</v>
      </c>
      <c r="C18" s="267">
        <f t="shared" si="0"/>
        <v>319229637.5</v>
      </c>
      <c r="D18" s="210">
        <f>[1]Субвенция_факт!H19*1000</f>
        <v>0</v>
      </c>
      <c r="E18" s="1172"/>
      <c r="F18" s="210">
        <f>[1]Субвенция_факт!I19*1000</f>
        <v>1410000</v>
      </c>
      <c r="G18" s="1172">
        <v>1051500</v>
      </c>
      <c r="H18" s="210">
        <f>[1]Субвенция_факт!K19*1000</f>
        <v>11991999.59</v>
      </c>
      <c r="I18" s="1172">
        <v>5500000</v>
      </c>
      <c r="J18" s="210">
        <f>[1]Субвенция_факт!L19*1000</f>
        <v>3779070</v>
      </c>
      <c r="K18" s="1172">
        <v>3779000</v>
      </c>
      <c r="L18" s="210">
        <f>[1]Субвенция_факт!M19*1000</f>
        <v>1102300</v>
      </c>
      <c r="M18" s="1172">
        <v>900000</v>
      </c>
      <c r="N18" s="210">
        <f>[1]Субвенция_факт!P19*1000</f>
        <v>150750</v>
      </c>
      <c r="O18" s="1172">
        <v>100500</v>
      </c>
      <c r="P18" s="210">
        <f>[1]Субвенция_факт!R19*1000</f>
        <v>402000</v>
      </c>
      <c r="Q18" s="1172">
        <v>280000</v>
      </c>
      <c r="R18" s="210">
        <f>[1]Субвенция_факт!S19*1000</f>
        <v>3209000</v>
      </c>
      <c r="S18" s="1172">
        <v>2530000</v>
      </c>
      <c r="T18" s="210">
        <f>[1]Субвенция_факт!T19*1000</f>
        <v>532100</v>
      </c>
      <c r="U18" s="1172">
        <v>397710</v>
      </c>
      <c r="V18" s="210">
        <f>[1]Субвенция_факт!U19*1000</f>
        <v>124506540.00000001</v>
      </c>
      <c r="W18" s="1172">
        <v>93000000</v>
      </c>
      <c r="X18" s="210">
        <f>[1]Субвенция_факт!V19*1000</f>
        <v>249528770</v>
      </c>
      <c r="Y18" s="1172">
        <v>209000000</v>
      </c>
      <c r="Z18" s="210">
        <f>[1]Субвенция_факт!W19*1000</f>
        <v>0</v>
      </c>
      <c r="AA18" s="713"/>
      <c r="AB18" s="210">
        <f>[1]Субвенция_факт!X19*1000</f>
        <v>9000</v>
      </c>
      <c r="AC18" s="1172">
        <v>0</v>
      </c>
      <c r="AD18" s="210">
        <f>[1]Субвенция_факт!Y19*1000</f>
        <v>1994150</v>
      </c>
      <c r="AE18" s="1172">
        <v>1629000</v>
      </c>
      <c r="AF18" s="210">
        <f>[1]Субвенция_факт!Z19*1000</f>
        <v>0</v>
      </c>
      <c r="AG18" s="713"/>
      <c r="AH18" s="210">
        <f>[1]Субвенция_факт!AA19*1000</f>
        <v>583300</v>
      </c>
      <c r="AI18" s="1172">
        <v>430000</v>
      </c>
      <c r="AJ18" s="210">
        <f>[1]Субвенция_факт!AB19*1000</f>
        <v>601651.00000000012</v>
      </c>
      <c r="AK18" s="1172">
        <v>0</v>
      </c>
      <c r="AL18" s="210">
        <f>[1]Субвенция_факт!AH19*1000</f>
        <v>842570</v>
      </c>
      <c r="AM18" s="1172">
        <v>631927.5</v>
      </c>
      <c r="AP18" s="407"/>
      <c r="AQ18" s="266"/>
      <c r="AR18" s="266"/>
      <c r="AS18" s="266"/>
    </row>
    <row r="19" spans="1:45" ht="21" customHeight="1" x14ac:dyDescent="0.25">
      <c r="A19" s="405" t="s">
        <v>90</v>
      </c>
      <c r="B19" s="267">
        <f t="shared" si="0"/>
        <v>249808105.27000001</v>
      </c>
      <c r="C19" s="267">
        <f t="shared" si="0"/>
        <v>183872698.25999999</v>
      </c>
      <c r="D19" s="210">
        <f>[1]Субвенция_факт!H20*1000</f>
        <v>0</v>
      </c>
      <c r="E19" s="1172"/>
      <c r="F19" s="210">
        <f>[1]Субвенция_факт!I20*1000</f>
        <v>1648000</v>
      </c>
      <c r="G19" s="1172">
        <v>1316720</v>
      </c>
      <c r="H19" s="210">
        <f>[1]Субвенция_факт!K20*1000</f>
        <v>4961322.68</v>
      </c>
      <c r="I19" s="1172">
        <v>4400000</v>
      </c>
      <c r="J19" s="210">
        <f>[1]Субвенция_факт!L20*1000</f>
        <v>2026260</v>
      </c>
      <c r="K19" s="1172">
        <v>2026260</v>
      </c>
      <c r="L19" s="210">
        <f>[1]Субвенция_факт!M20*1000</f>
        <v>585400</v>
      </c>
      <c r="M19" s="1172">
        <v>450000</v>
      </c>
      <c r="N19" s="210">
        <f>[1]Субвенция_факт!P20*1000</f>
        <v>100500</v>
      </c>
      <c r="O19" s="1172">
        <v>50250</v>
      </c>
      <c r="P19" s="210">
        <f>[1]Субвенция_факт!R20*1000</f>
        <v>120600.00000000001</v>
      </c>
      <c r="Q19" s="1172">
        <v>96600</v>
      </c>
      <c r="R19" s="210">
        <f>[1]Субвенция_факт!S20*1000</f>
        <v>1949805.5899999999</v>
      </c>
      <c r="S19" s="1172">
        <v>1440000</v>
      </c>
      <c r="T19" s="210">
        <f>[1]Субвенция_факт!T20*1000</f>
        <v>537800</v>
      </c>
      <c r="U19" s="1172">
        <v>404083</v>
      </c>
      <c r="V19" s="210">
        <f>[1]Субвенция_факт!U20*1000</f>
        <v>52871950.000000007</v>
      </c>
      <c r="W19" s="1172">
        <v>39500000</v>
      </c>
      <c r="X19" s="210">
        <f>[1]Субвенция_факт!V20*1000</f>
        <v>181099910</v>
      </c>
      <c r="Y19" s="1172">
        <v>131000000</v>
      </c>
      <c r="Z19" s="210">
        <f>[1]Субвенция_факт!W20*1000</f>
        <v>0</v>
      </c>
      <c r="AA19" s="713"/>
      <c r="AB19" s="210">
        <f>[1]Субвенция_факт!X20*1000</f>
        <v>8500</v>
      </c>
      <c r="AC19" s="1172">
        <v>1000</v>
      </c>
      <c r="AD19" s="210">
        <f>[1]Субвенция_факт!Y20*1000</f>
        <v>2326100</v>
      </c>
      <c r="AE19" s="1172">
        <v>1960000</v>
      </c>
      <c r="AF19" s="210">
        <f>[1]Субвенция_факт!Z20*1000</f>
        <v>0</v>
      </c>
      <c r="AG19" s="713"/>
      <c r="AH19" s="210">
        <f>[1]Субвенция_факт!AA20*1000</f>
        <v>575000</v>
      </c>
      <c r="AI19" s="1172">
        <v>432000</v>
      </c>
      <c r="AJ19" s="210">
        <f>[1]Субвенция_факт!AB20*1000</f>
        <v>235987</v>
      </c>
      <c r="AK19" s="1172">
        <v>225057.76</v>
      </c>
      <c r="AL19" s="210">
        <f>[1]Субвенция_факт!AH20*1000</f>
        <v>760970</v>
      </c>
      <c r="AM19" s="1172">
        <v>570727.5</v>
      </c>
      <c r="AP19" s="407"/>
      <c r="AQ19" s="266"/>
      <c r="AR19" s="266"/>
      <c r="AS19" s="266"/>
    </row>
    <row r="20" spans="1:45" ht="21" customHeight="1" x14ac:dyDescent="0.25">
      <c r="A20" s="405" t="s">
        <v>91</v>
      </c>
      <c r="B20" s="267">
        <f t="shared" si="0"/>
        <v>582157042.89999986</v>
      </c>
      <c r="C20" s="267">
        <f t="shared" si="0"/>
        <v>436091606.08999997</v>
      </c>
      <c r="D20" s="210">
        <f>[1]Субвенция_факт!H21*1000</f>
        <v>0</v>
      </c>
      <c r="E20" s="1172"/>
      <c r="F20" s="210">
        <f>[1]Субвенция_факт!I21*1000</f>
        <v>3140000</v>
      </c>
      <c r="G20" s="1172">
        <v>2362100</v>
      </c>
      <c r="H20" s="210">
        <f>[1]Субвенция_факт!K21*1000</f>
        <v>12875370.9</v>
      </c>
      <c r="I20" s="1172">
        <v>8500000</v>
      </c>
      <c r="J20" s="210">
        <f>[1]Субвенция_факт!L21*1000</f>
        <v>4114490</v>
      </c>
      <c r="K20" s="1172">
        <v>4113520</v>
      </c>
      <c r="L20" s="210">
        <f>[1]Субвенция_факт!M21*1000</f>
        <v>1098300</v>
      </c>
      <c r="M20" s="1172">
        <v>1000000</v>
      </c>
      <c r="N20" s="210">
        <f>[1]Субвенция_факт!P21*1000</f>
        <v>0</v>
      </c>
      <c r="O20" s="1172"/>
      <c r="P20" s="210">
        <f>[1]Субвенция_факт!R21*1000</f>
        <v>1061280</v>
      </c>
      <c r="Q20" s="1172">
        <v>828000</v>
      </c>
      <c r="R20" s="210">
        <f>[1]Субвенция_факт!S21*1000</f>
        <v>4806800</v>
      </c>
      <c r="S20" s="1172">
        <v>3900000</v>
      </c>
      <c r="T20" s="210">
        <f>[1]Субвенция_факт!T21*1000</f>
        <v>553200</v>
      </c>
      <c r="U20" s="1172">
        <v>460297.2</v>
      </c>
      <c r="V20" s="210">
        <f>[1]Субвенция_факт!U21*1000</f>
        <v>107565269</v>
      </c>
      <c r="W20" s="1172">
        <v>76500000</v>
      </c>
      <c r="X20" s="210">
        <f>[1]Субвенция_факт!V21*1000</f>
        <v>442333280.99999994</v>
      </c>
      <c r="Y20" s="1172">
        <v>335000000</v>
      </c>
      <c r="Z20" s="210">
        <f>[1]Субвенция_факт!W21*1000</f>
        <v>0</v>
      </c>
      <c r="AA20" s="713"/>
      <c r="AB20" s="210">
        <f>[1]Субвенция_факт!X21*1000</f>
        <v>5000</v>
      </c>
      <c r="AC20" s="1172">
        <v>1000</v>
      </c>
      <c r="AD20" s="210">
        <f>[1]Субвенция_факт!Y21*1000</f>
        <v>1782100</v>
      </c>
      <c r="AE20" s="1172">
        <v>1472000</v>
      </c>
      <c r="AF20" s="210">
        <f>[1]Субвенция_факт!Z21*1000</f>
        <v>0</v>
      </c>
      <c r="AG20" s="713"/>
      <c r="AH20" s="210">
        <f>[1]Субвенция_факт!AA21*1000</f>
        <v>573100</v>
      </c>
      <c r="AI20" s="1172">
        <v>500000</v>
      </c>
      <c r="AJ20" s="210">
        <f>[1]Субвенция_факт!AB21*1000</f>
        <v>1358181.9999999998</v>
      </c>
      <c r="AK20" s="1172">
        <v>786686.39</v>
      </c>
      <c r="AL20" s="210">
        <f>[1]Субвенция_факт!AH21*1000</f>
        <v>890670</v>
      </c>
      <c r="AM20" s="1172">
        <v>668002.5</v>
      </c>
      <c r="AP20" s="407"/>
      <c r="AQ20" s="266"/>
      <c r="AR20" s="266"/>
      <c r="AS20" s="266"/>
    </row>
    <row r="21" spans="1:45" ht="21" customHeight="1" x14ac:dyDescent="0.25">
      <c r="A21" s="405" t="s">
        <v>92</v>
      </c>
      <c r="B21" s="267">
        <f t="shared" si="0"/>
        <v>206040997.47999999</v>
      </c>
      <c r="C21" s="267">
        <f t="shared" si="0"/>
        <v>168722517.5</v>
      </c>
      <c r="D21" s="210">
        <f>[1]Субвенция_факт!H22*1000</f>
        <v>0</v>
      </c>
      <c r="E21" s="1172"/>
      <c r="F21" s="210">
        <f>[1]Субвенция_факт!I22*1000</f>
        <v>1350000</v>
      </c>
      <c r="G21" s="1172">
        <v>1001500</v>
      </c>
      <c r="H21" s="210">
        <f>[1]Субвенция_факт!K22*1000</f>
        <v>4129389.48</v>
      </c>
      <c r="I21" s="1172">
        <v>1891520</v>
      </c>
      <c r="J21" s="210">
        <f>[1]Субвенция_факт!L22*1000</f>
        <v>1735580</v>
      </c>
      <c r="K21" s="1172">
        <v>1735140</v>
      </c>
      <c r="L21" s="210">
        <f>[1]Субвенция_факт!M22*1000</f>
        <v>544800</v>
      </c>
      <c r="M21" s="1172">
        <v>408600</v>
      </c>
      <c r="N21" s="210">
        <f>[1]Субвенция_факт!P22*1000</f>
        <v>50250</v>
      </c>
      <c r="O21" s="1172">
        <v>50250</v>
      </c>
      <c r="P21" s="210">
        <f>[1]Субвенция_факт!R22*1000</f>
        <v>96480</v>
      </c>
      <c r="Q21" s="1172">
        <v>72480</v>
      </c>
      <c r="R21" s="210">
        <f>[1]Субвенция_факт!S22*1000</f>
        <v>1796400</v>
      </c>
      <c r="S21" s="1172">
        <v>1347600</v>
      </c>
      <c r="T21" s="210">
        <f>[1]Субвенция_факт!T22*1000</f>
        <v>558200</v>
      </c>
      <c r="U21" s="1172">
        <v>418580</v>
      </c>
      <c r="V21" s="210">
        <f>[1]Субвенция_факт!U22*1000</f>
        <v>43513060.000000007</v>
      </c>
      <c r="W21" s="1172">
        <v>34158000</v>
      </c>
      <c r="X21" s="210">
        <f>[1]Субвенция_факт!V22*1000</f>
        <v>148289010</v>
      </c>
      <c r="Y21" s="1172">
        <v>124715675</v>
      </c>
      <c r="Z21" s="210">
        <f>[1]Субвенция_факт!W22*1000</f>
        <v>0</v>
      </c>
      <c r="AA21" s="713"/>
      <c r="AB21" s="210">
        <f>[1]Субвенция_факт!X22*1000</f>
        <v>500</v>
      </c>
      <c r="AC21" s="1172">
        <v>500</v>
      </c>
      <c r="AD21" s="210">
        <f>[1]Субвенция_факт!Y22*1000</f>
        <v>1884100</v>
      </c>
      <c r="AE21" s="1172">
        <v>1569000</v>
      </c>
      <c r="AF21" s="210">
        <f>[1]Субвенция_факт!Z22*1000</f>
        <v>0</v>
      </c>
      <c r="AG21" s="713"/>
      <c r="AH21" s="210">
        <f>[1]Субвенция_факт!AA22*1000</f>
        <v>586800</v>
      </c>
      <c r="AI21" s="1172">
        <v>500000</v>
      </c>
      <c r="AJ21" s="210">
        <f>[1]Субвенция_факт!AB22*1000</f>
        <v>644558</v>
      </c>
      <c r="AK21" s="1172">
        <v>207270</v>
      </c>
      <c r="AL21" s="210">
        <f>[1]Субвенция_факт!AH22*1000</f>
        <v>861870</v>
      </c>
      <c r="AM21" s="1172">
        <v>646402.5</v>
      </c>
      <c r="AP21" s="407"/>
      <c r="AQ21" s="266"/>
      <c r="AR21" s="266"/>
      <c r="AS21" s="266"/>
    </row>
    <row r="22" spans="1:45" ht="21" customHeight="1" x14ac:dyDescent="0.25">
      <c r="A22" s="405" t="s">
        <v>93</v>
      </c>
      <c r="B22" s="267">
        <f t="shared" si="0"/>
        <v>283778163.94999999</v>
      </c>
      <c r="C22" s="267">
        <f t="shared" si="0"/>
        <v>238331400</v>
      </c>
      <c r="D22" s="210">
        <f>[1]Субвенция_факт!H23*1000</f>
        <v>0</v>
      </c>
      <c r="E22" s="1172"/>
      <c r="F22" s="210">
        <f>[1]Субвенция_факт!I23*1000</f>
        <v>2085000</v>
      </c>
      <c r="G22" s="1172">
        <v>1556000</v>
      </c>
      <c r="H22" s="210">
        <f>[1]Субвенция_факт!K23*1000</f>
        <v>5138212.9499999993</v>
      </c>
      <c r="I22" s="1172">
        <v>5000000</v>
      </c>
      <c r="J22" s="210">
        <f>[1]Субвенция_факт!L23*1000</f>
        <v>2832620</v>
      </c>
      <c r="K22" s="1172">
        <v>2500000</v>
      </c>
      <c r="L22" s="210">
        <f>[1]Субвенция_факт!M23*1000</f>
        <v>1127600</v>
      </c>
      <c r="M22" s="1172">
        <v>862000</v>
      </c>
      <c r="N22" s="210">
        <f>[1]Субвенция_факт!P23*1000</f>
        <v>50250</v>
      </c>
      <c r="O22" s="1172">
        <v>0</v>
      </c>
      <c r="P22" s="210">
        <f>[1]Субвенция_факт!R23*1000</f>
        <v>24120.000000000004</v>
      </c>
      <c r="Q22" s="1172">
        <v>0</v>
      </c>
      <c r="R22" s="210">
        <f>[1]Субвенция_факт!S23*1000</f>
        <v>1893200</v>
      </c>
      <c r="S22" s="1172">
        <v>1271000</v>
      </c>
      <c r="T22" s="210">
        <f>[1]Субвенция_факт!T23*1000</f>
        <v>553800</v>
      </c>
      <c r="U22" s="1172">
        <v>414750</v>
      </c>
      <c r="V22" s="210">
        <f>[1]Субвенция_факт!U23*1000</f>
        <v>46927310</v>
      </c>
      <c r="W22" s="1172">
        <v>41600000</v>
      </c>
      <c r="X22" s="210">
        <f>[1]Субвенция_факт!V23*1000</f>
        <v>218716320</v>
      </c>
      <c r="Y22" s="1172">
        <v>182000000</v>
      </c>
      <c r="Z22" s="210">
        <f>[1]Субвенция_факт!W23*1000</f>
        <v>0</v>
      </c>
      <c r="AA22" s="713"/>
      <c r="AB22" s="210">
        <f>[1]Субвенция_факт!X23*1000</f>
        <v>4000</v>
      </c>
      <c r="AC22" s="1172">
        <v>0</v>
      </c>
      <c r="AD22" s="210">
        <f>[1]Субвенция_факт!Y23*1000</f>
        <v>2162700</v>
      </c>
      <c r="AE22" s="1172">
        <v>1900000</v>
      </c>
      <c r="AF22" s="210">
        <f>[1]Субвенция_факт!Z23*1000</f>
        <v>0</v>
      </c>
      <c r="AG22" s="713"/>
      <c r="AH22" s="210">
        <f>[1]Субвенция_факт!AA23*1000</f>
        <v>595200</v>
      </c>
      <c r="AI22" s="1172">
        <v>450000</v>
      </c>
      <c r="AJ22" s="210">
        <f>[1]Субвенция_факт!AB23*1000</f>
        <v>878431</v>
      </c>
      <c r="AK22" s="1172">
        <v>185600</v>
      </c>
      <c r="AL22" s="210">
        <f>[1]Субвенция_факт!AH23*1000</f>
        <v>789400</v>
      </c>
      <c r="AM22" s="1172">
        <v>592050</v>
      </c>
      <c r="AP22" s="407"/>
      <c r="AQ22" s="266"/>
      <c r="AR22" s="266"/>
      <c r="AS22" s="266"/>
    </row>
    <row r="23" spans="1:45" ht="21" customHeight="1" x14ac:dyDescent="0.25">
      <c r="A23" s="405" t="s">
        <v>94</v>
      </c>
      <c r="B23" s="267">
        <f t="shared" si="0"/>
        <v>438621399.95000005</v>
      </c>
      <c r="C23" s="267">
        <f t="shared" si="0"/>
        <v>356343074.68000001</v>
      </c>
      <c r="D23" s="210">
        <f>[1]Субвенция_факт!H24*1000</f>
        <v>0</v>
      </c>
      <c r="E23" s="1172"/>
      <c r="F23" s="210">
        <f>[1]Субвенция_факт!I24*1000</f>
        <v>1575000</v>
      </c>
      <c r="G23" s="1172">
        <v>1232900</v>
      </c>
      <c r="H23" s="210">
        <f>[1]Субвенция_факт!K24*1000</f>
        <v>14261099.950000001</v>
      </c>
      <c r="I23" s="1172">
        <v>9000000</v>
      </c>
      <c r="J23" s="210">
        <f>[1]Субвенция_факт!L24*1000</f>
        <v>5173350</v>
      </c>
      <c r="K23" s="1172">
        <v>5173350</v>
      </c>
      <c r="L23" s="210">
        <f>[1]Субвенция_факт!M24*1000</f>
        <v>1167000</v>
      </c>
      <c r="M23" s="1172">
        <v>811200</v>
      </c>
      <c r="N23" s="210">
        <f>[1]Субвенция_факт!P24*1000</f>
        <v>50250</v>
      </c>
      <c r="O23" s="1172">
        <v>0</v>
      </c>
      <c r="P23" s="210">
        <f>[1]Субвенция_факт!R24*1000</f>
        <v>1374840.0000000002</v>
      </c>
      <c r="Q23" s="1172">
        <v>1008000</v>
      </c>
      <c r="R23" s="210">
        <f>[1]Субвенция_факт!S24*1000</f>
        <v>3603600</v>
      </c>
      <c r="S23" s="1172">
        <v>2742400</v>
      </c>
      <c r="T23" s="210">
        <f>[1]Субвенция_факт!T24*1000</f>
        <v>538500</v>
      </c>
      <c r="U23" s="1172">
        <v>402375</v>
      </c>
      <c r="V23" s="210">
        <f>[1]Субвенция_факт!U24*1000</f>
        <v>112565460</v>
      </c>
      <c r="W23" s="1172">
        <v>82000000</v>
      </c>
      <c r="X23" s="210">
        <f>[1]Субвенция_факт!V24*1000</f>
        <v>293144350.00000006</v>
      </c>
      <c r="Y23" s="1172">
        <v>250000000</v>
      </c>
      <c r="Z23" s="210">
        <f>[1]Субвенция_факт!W24*1000</f>
        <v>485579</v>
      </c>
      <c r="AA23" s="713">
        <v>485579</v>
      </c>
      <c r="AB23" s="210">
        <f>[1]Субвенция_факт!X24*1000</f>
        <v>18000</v>
      </c>
      <c r="AC23" s="1172">
        <v>11000</v>
      </c>
      <c r="AD23" s="210">
        <f>[1]Субвенция_факт!Y24*1000</f>
        <v>2332000</v>
      </c>
      <c r="AE23" s="1172">
        <v>1926000</v>
      </c>
      <c r="AF23" s="210">
        <f>[1]Субвенция_факт!Z24*1000</f>
        <v>0</v>
      </c>
      <c r="AG23" s="713"/>
      <c r="AH23" s="210">
        <f>[1]Субвенция_факт!AA24*1000</f>
        <v>1091100</v>
      </c>
      <c r="AI23" s="1172">
        <v>720000</v>
      </c>
      <c r="AJ23" s="210">
        <f>[1]Субвенция_факт!AB24*1000</f>
        <v>321801</v>
      </c>
      <c r="AK23" s="1172">
        <v>140668.18</v>
      </c>
      <c r="AL23" s="210">
        <f>[1]Субвенция_факт!AH24*1000</f>
        <v>919470</v>
      </c>
      <c r="AM23" s="1172">
        <v>689602.5</v>
      </c>
      <c r="AP23" s="407"/>
      <c r="AQ23" s="266"/>
      <c r="AR23" s="266"/>
      <c r="AS23" s="266"/>
    </row>
    <row r="24" spans="1:45" ht="21" customHeight="1" x14ac:dyDescent="0.25">
      <c r="A24" s="405" t="s">
        <v>95</v>
      </c>
      <c r="B24" s="267">
        <f t="shared" si="0"/>
        <v>217175909.25999999</v>
      </c>
      <c r="C24" s="267">
        <f t="shared" si="0"/>
        <v>190262729.5</v>
      </c>
      <c r="D24" s="210">
        <f>[1]Субвенция_факт!H25*1000</f>
        <v>0</v>
      </c>
      <c r="E24" s="1172"/>
      <c r="F24" s="210">
        <f>[1]Субвенция_факт!I25*1000</f>
        <v>1950000</v>
      </c>
      <c r="G24" s="1172">
        <v>1464000</v>
      </c>
      <c r="H24" s="210">
        <f>[1]Субвенция_факт!K25*1000</f>
        <v>4770596.26</v>
      </c>
      <c r="I24" s="1172">
        <v>3200000</v>
      </c>
      <c r="J24" s="210">
        <f>[1]Субвенция_факт!L25*1000</f>
        <v>1694380</v>
      </c>
      <c r="K24" s="1172">
        <v>1650000</v>
      </c>
      <c r="L24" s="210">
        <f>[1]Субвенция_факт!M25*1000</f>
        <v>596000</v>
      </c>
      <c r="M24" s="1172">
        <v>468000</v>
      </c>
      <c r="N24" s="210">
        <f>[1]Субвенция_факт!P25*1000</f>
        <v>0</v>
      </c>
      <c r="O24" s="1172"/>
      <c r="P24" s="210">
        <f>[1]Субвенция_факт!R25*1000</f>
        <v>675360</v>
      </c>
      <c r="Q24" s="1172">
        <v>504000</v>
      </c>
      <c r="R24" s="210">
        <f>[1]Субвенция_факт!S25*1000</f>
        <v>1922900</v>
      </c>
      <c r="S24" s="1172">
        <v>1450000</v>
      </c>
      <c r="T24" s="210">
        <f>[1]Субвенция_факт!T25*1000</f>
        <v>537200</v>
      </c>
      <c r="U24" s="1172">
        <v>429068</v>
      </c>
      <c r="V24" s="210">
        <f>[1]Субвенция_факт!U25*1000</f>
        <v>33568970</v>
      </c>
      <c r="W24" s="1172">
        <v>27000000</v>
      </c>
      <c r="X24" s="210">
        <f>[1]Субвенция_факт!V25*1000</f>
        <v>167388890</v>
      </c>
      <c r="Y24" s="1172">
        <v>151000000</v>
      </c>
      <c r="Z24" s="210">
        <f>[1]Субвенция_факт!W25*1000</f>
        <v>0</v>
      </c>
      <c r="AA24" s="713"/>
      <c r="AB24" s="210">
        <f>[1]Субвенция_факт!X25*1000</f>
        <v>7500</v>
      </c>
      <c r="AC24" s="1172">
        <v>7500</v>
      </c>
      <c r="AD24" s="210">
        <f>[1]Субвенция_факт!Y25*1000</f>
        <v>2102000</v>
      </c>
      <c r="AE24" s="1172">
        <v>1752000</v>
      </c>
      <c r="AF24" s="210">
        <f>[1]Субвенция_факт!Z25*1000</f>
        <v>0</v>
      </c>
      <c r="AG24" s="713"/>
      <c r="AH24" s="210">
        <f>[1]Субвенция_факт!AA25*1000</f>
        <v>579700</v>
      </c>
      <c r="AI24" s="1172">
        <v>540000</v>
      </c>
      <c r="AJ24" s="210">
        <f>[1]Субвенция_факт!AB25*1000</f>
        <v>604242.99999999988</v>
      </c>
      <c r="AK24" s="1172">
        <v>214534</v>
      </c>
      <c r="AL24" s="210">
        <f>[1]Субвенция_факт!AH25*1000</f>
        <v>778170</v>
      </c>
      <c r="AM24" s="1172">
        <v>583627.5</v>
      </c>
      <c r="AP24" s="407"/>
      <c r="AQ24" s="266"/>
      <c r="AR24" s="266"/>
      <c r="AS24" s="266"/>
    </row>
    <row r="25" spans="1:45" ht="21" customHeight="1" x14ac:dyDescent="0.25">
      <c r="A25" s="405" t="s">
        <v>96</v>
      </c>
      <c r="B25" s="267">
        <f t="shared" si="0"/>
        <v>321310740.31999993</v>
      </c>
      <c r="C25" s="267">
        <f t="shared" si="0"/>
        <v>247842672.5</v>
      </c>
      <c r="D25" s="210">
        <f>[1]Субвенция_факт!H26*1000</f>
        <v>0</v>
      </c>
      <c r="E25" s="1172"/>
      <c r="F25" s="210">
        <f>[1]Субвенция_факт!I26*1000</f>
        <v>1255000</v>
      </c>
      <c r="G25" s="1172">
        <v>957600</v>
      </c>
      <c r="H25" s="210">
        <f>[1]Субвенция_факт!K26*1000</f>
        <v>9670194.3200000003</v>
      </c>
      <c r="I25" s="1172">
        <v>5100000</v>
      </c>
      <c r="J25" s="210">
        <f>[1]Субвенция_факт!L26*1000</f>
        <v>3584850</v>
      </c>
      <c r="K25" s="1172">
        <v>3445620</v>
      </c>
      <c r="L25" s="210">
        <f>[1]Субвенция_факт!M26*1000</f>
        <v>1300700</v>
      </c>
      <c r="M25" s="1172">
        <v>862200</v>
      </c>
      <c r="N25" s="210">
        <f>[1]Субвенция_факт!P26*1000</f>
        <v>50250</v>
      </c>
      <c r="O25" s="1172">
        <v>50250</v>
      </c>
      <c r="P25" s="210">
        <f>[1]Субвенция_факт!R26*1000</f>
        <v>804000</v>
      </c>
      <c r="Q25" s="1172">
        <v>608000</v>
      </c>
      <c r="R25" s="210">
        <f>[1]Субвенция_факт!S26*1000</f>
        <v>2583000</v>
      </c>
      <c r="S25" s="1172">
        <v>1936600</v>
      </c>
      <c r="T25" s="210">
        <f>[1]Субвенция_факт!T26*1000</f>
        <v>552900</v>
      </c>
      <c r="U25" s="1172">
        <v>414375</v>
      </c>
      <c r="V25" s="210">
        <f>[1]Субвенция_факт!U26*1000</f>
        <v>74818090</v>
      </c>
      <c r="W25" s="1172">
        <v>60000000</v>
      </c>
      <c r="X25" s="210">
        <f>[1]Субвенция_факт!V26*1000</f>
        <v>222105349.99999997</v>
      </c>
      <c r="Y25" s="1172">
        <v>171000000</v>
      </c>
      <c r="Z25" s="210">
        <f>[1]Субвенция_факт!W26*1000</f>
        <v>0</v>
      </c>
      <c r="AA25" s="713"/>
      <c r="AB25" s="210">
        <f>[1]Субвенция_факт!X26*1000</f>
        <v>8500</v>
      </c>
      <c r="AC25" s="1172">
        <v>0</v>
      </c>
      <c r="AD25" s="210">
        <f>[1]Субвенция_факт!Y26*1000</f>
        <v>2293150</v>
      </c>
      <c r="AE25" s="1172">
        <v>1952000</v>
      </c>
      <c r="AF25" s="210">
        <f>[1]Субвенция_факт!Z26*1000</f>
        <v>0</v>
      </c>
      <c r="AG25" s="713"/>
      <c r="AH25" s="210">
        <f>[1]Субвенция_факт!AA26*1000</f>
        <v>677700</v>
      </c>
      <c r="AI25" s="1172">
        <v>508500</v>
      </c>
      <c r="AJ25" s="210">
        <f>[1]Субвенция_факт!AB26*1000</f>
        <v>706086</v>
      </c>
      <c r="AK25" s="1172">
        <v>331800</v>
      </c>
      <c r="AL25" s="210">
        <f>[1]Субвенция_факт!AH26*1000</f>
        <v>900970</v>
      </c>
      <c r="AM25" s="1172">
        <v>675727.5</v>
      </c>
      <c r="AP25" s="407"/>
      <c r="AQ25" s="266"/>
      <c r="AR25" s="266"/>
      <c r="AS25" s="266"/>
    </row>
    <row r="26" spans="1:45" ht="21" customHeight="1" x14ac:dyDescent="0.25">
      <c r="A26" s="405" t="s">
        <v>5</v>
      </c>
      <c r="B26" s="267">
        <f t="shared" si="0"/>
        <v>839809724.70000005</v>
      </c>
      <c r="C26" s="267">
        <f t="shared" si="0"/>
        <v>625199265.78999996</v>
      </c>
      <c r="D26" s="210">
        <f>[1]Субвенция_факт!H29*1000</f>
        <v>0</v>
      </c>
      <c r="E26" s="1172"/>
      <c r="F26" s="210">
        <f>[1]Субвенция_факт!I29*1000</f>
        <v>0</v>
      </c>
      <c r="G26" s="1172"/>
      <c r="H26" s="210">
        <f>[1]Субвенция_факт!K29*1000</f>
        <v>27966149.699999999</v>
      </c>
      <c r="I26" s="1172">
        <v>16000000</v>
      </c>
      <c r="J26" s="210">
        <f>[1]Субвенция_факт!L29*1000</f>
        <v>6155380</v>
      </c>
      <c r="K26" s="1172">
        <v>5950000</v>
      </c>
      <c r="L26" s="210">
        <f>[1]Субвенция_факт!M29*1000</f>
        <v>1225700</v>
      </c>
      <c r="M26" s="1172">
        <v>800000</v>
      </c>
      <c r="N26" s="210">
        <f>[1]Субвенция_факт!P29*1000</f>
        <v>351750</v>
      </c>
      <c r="O26" s="1172">
        <v>351750</v>
      </c>
      <c r="P26" s="210">
        <f>[1]Субвенция_факт!R29*1000</f>
        <v>2669280</v>
      </c>
      <c r="Q26" s="1172">
        <v>1904000</v>
      </c>
      <c r="R26" s="210">
        <f>[1]Субвенция_факт!S29*1000</f>
        <v>5137100</v>
      </c>
      <c r="S26" s="1172">
        <v>5137100</v>
      </c>
      <c r="T26" s="210">
        <f>[1]Субвенция_факт!T29*1000</f>
        <v>1044200</v>
      </c>
      <c r="U26" s="1172">
        <v>783080</v>
      </c>
      <c r="V26" s="210">
        <f>[1]Субвенция_факт!U29*1000</f>
        <v>380434580</v>
      </c>
      <c r="W26" s="1172">
        <v>260000000</v>
      </c>
      <c r="X26" s="210">
        <f>[1]Субвенция_факт!V29*1000</f>
        <v>390240510</v>
      </c>
      <c r="Y26" s="1172">
        <v>315000000</v>
      </c>
      <c r="Z26" s="210">
        <f>[1]Субвенция_факт!W29*1000</f>
        <v>10256726</v>
      </c>
      <c r="AA26" s="713">
        <v>8000000</v>
      </c>
      <c r="AB26" s="210">
        <f>[1]Субвенция_факт!X29*1000</f>
        <v>4500</v>
      </c>
      <c r="AC26" s="1172">
        <v>3646.5</v>
      </c>
      <c r="AD26" s="210">
        <f>[1]Субвенция_факт!Y29*1000</f>
        <v>3931000</v>
      </c>
      <c r="AE26" s="1172">
        <v>3356000</v>
      </c>
      <c r="AF26" s="210">
        <f>[1]Субвенция_факт!Z29*1000</f>
        <v>6032000</v>
      </c>
      <c r="AG26" s="713">
        <v>6032000</v>
      </c>
      <c r="AH26" s="210">
        <f>[1]Субвенция_факт!AA29*1000</f>
        <v>1151500</v>
      </c>
      <c r="AI26" s="1172">
        <v>820000</v>
      </c>
      <c r="AJ26" s="210">
        <f>[1]Субвенция_факт!AB29*1000</f>
        <v>3209349</v>
      </c>
      <c r="AK26" s="1172">
        <v>1061689.29</v>
      </c>
      <c r="AL26" s="210">
        <f>[1]Субвенция_факт!AH29*1000</f>
        <v>0</v>
      </c>
      <c r="AM26" s="1172"/>
      <c r="AN26" s="404"/>
      <c r="AP26" s="407"/>
      <c r="AQ26" s="266"/>
      <c r="AR26" s="266"/>
      <c r="AS26" s="266"/>
    </row>
    <row r="27" spans="1:45" ht="21" customHeight="1" x14ac:dyDescent="0.25">
      <c r="A27" s="405" t="s">
        <v>6</v>
      </c>
      <c r="B27" s="267">
        <f t="shared" si="0"/>
        <v>4698405720.5099993</v>
      </c>
      <c r="C27" s="267">
        <f t="shared" si="0"/>
        <v>3467364158.5700002</v>
      </c>
      <c r="D27" s="210">
        <f>[1]Субвенция_факт!H30*1000</f>
        <v>0</v>
      </c>
      <c r="E27" s="1172"/>
      <c r="F27" s="210">
        <f>[1]Субвенция_факт!I30*1000</f>
        <v>0</v>
      </c>
      <c r="G27" s="1172"/>
      <c r="H27" s="210">
        <f>[1]Субвенция_факт!K30*1000</f>
        <v>147120481.50999999</v>
      </c>
      <c r="I27" s="1172">
        <v>86896834</v>
      </c>
      <c r="J27" s="210">
        <f>[1]Субвенция_факт!L30*1000</f>
        <v>31872000</v>
      </c>
      <c r="K27" s="1172">
        <v>25000000</v>
      </c>
      <c r="L27" s="210">
        <f>[1]Субвенция_факт!M30*1000</f>
        <v>5851800</v>
      </c>
      <c r="M27" s="1172">
        <v>4359300</v>
      </c>
      <c r="N27" s="210">
        <f>[1]Субвенция_факт!P30*1000</f>
        <v>1005000</v>
      </c>
      <c r="O27" s="1172">
        <v>804000</v>
      </c>
      <c r="P27" s="210">
        <f>[1]Субвенция_факт!R30*1000</f>
        <v>9863069.9999999981</v>
      </c>
      <c r="Q27" s="1172">
        <v>7150000</v>
      </c>
      <c r="R27" s="210">
        <f>[1]Субвенция_факт!S30*1000</f>
        <v>27137109.999999996</v>
      </c>
      <c r="S27" s="1172">
        <v>21018000</v>
      </c>
      <c r="T27" s="210">
        <f>[1]Субвенция_факт!T30*1000</f>
        <v>1122100</v>
      </c>
      <c r="U27" s="1172">
        <v>841565</v>
      </c>
      <c r="V27" s="210">
        <f>[1]Субвенция_факт!U30*1000</f>
        <v>1961942739.9999998</v>
      </c>
      <c r="W27" s="1172">
        <v>1441020160</v>
      </c>
      <c r="X27" s="210">
        <f>[1]Субвенция_факт!V30*1000</f>
        <v>2440861906.9999995</v>
      </c>
      <c r="Y27" s="1172">
        <v>1822481785</v>
      </c>
      <c r="Z27" s="210">
        <f>[1]Субвенция_факт!W30*1000</f>
        <v>22106195</v>
      </c>
      <c r="AA27" s="713">
        <v>16550000</v>
      </c>
      <c r="AB27" s="210">
        <f>[1]Субвенция_факт!X30*1000</f>
        <v>120500</v>
      </c>
      <c r="AC27" s="1172">
        <v>0</v>
      </c>
      <c r="AD27" s="210">
        <f>[1]Субвенция_факт!Y30*1000</f>
        <v>8524000</v>
      </c>
      <c r="AE27" s="1172">
        <v>7480000</v>
      </c>
      <c r="AF27" s="210">
        <f>[1]Субвенция_факт!Z30*1000</f>
        <v>15000000</v>
      </c>
      <c r="AG27" s="713">
        <v>15000000</v>
      </c>
      <c r="AH27" s="210">
        <f>[1]Субвенция_факт!AA30*1000</f>
        <v>5262400</v>
      </c>
      <c r="AI27" s="1172">
        <v>4052000</v>
      </c>
      <c r="AJ27" s="210">
        <f>[1]Субвенция_факт!AB30*1000</f>
        <v>20616417</v>
      </c>
      <c r="AK27" s="1172">
        <v>14710514.57</v>
      </c>
      <c r="AL27" s="210">
        <f>[1]Субвенция_факт!AH30*1000</f>
        <v>0</v>
      </c>
      <c r="AM27" s="1172"/>
      <c r="AN27" s="404"/>
      <c r="AP27" s="407"/>
      <c r="AQ27" s="266"/>
      <c r="AR27" s="266"/>
      <c r="AS27" s="266"/>
    </row>
    <row r="28" spans="1:45" s="400" customFormat="1" ht="21" customHeight="1" x14ac:dyDescent="0.25">
      <c r="A28" s="402" t="s">
        <v>36</v>
      </c>
      <c r="B28" s="267">
        <f t="shared" ref="B28:AM28" si="1">SUM(B8:B27)</f>
        <v>11214381118.809998</v>
      </c>
      <c r="C28" s="267">
        <f t="shared" si="1"/>
        <v>8504147668</v>
      </c>
      <c r="D28" s="267">
        <f>SUM(D8:D27)</f>
        <v>0</v>
      </c>
      <c r="E28" s="267">
        <f>SUM(E8:E27)</f>
        <v>0</v>
      </c>
      <c r="F28" s="267">
        <f t="shared" si="1"/>
        <v>29990000</v>
      </c>
      <c r="G28" s="267">
        <f t="shared" si="1"/>
        <v>22136094</v>
      </c>
      <c r="H28" s="267">
        <f>SUM(H8:H27)</f>
        <v>318401691.22000003</v>
      </c>
      <c r="I28" s="267">
        <f>SUM(I8:I27)</f>
        <v>200691854</v>
      </c>
      <c r="J28" s="267">
        <f>SUM(J8:J27)</f>
        <v>91030250</v>
      </c>
      <c r="K28" s="267">
        <f>SUM(K8:K27)</f>
        <v>82745430</v>
      </c>
      <c r="L28" s="267">
        <f t="shared" si="1"/>
        <v>23925600</v>
      </c>
      <c r="M28" s="267">
        <f t="shared" si="1"/>
        <v>18584300</v>
      </c>
      <c r="N28" s="267">
        <f t="shared" si="1"/>
        <v>2412000</v>
      </c>
      <c r="O28" s="267">
        <f t="shared" si="1"/>
        <v>1708500</v>
      </c>
      <c r="P28" s="267">
        <f t="shared" ref="P28:S28" si="2">SUM(P8:P27)</f>
        <v>24142110</v>
      </c>
      <c r="Q28" s="267">
        <f t="shared" si="2"/>
        <v>18000800</v>
      </c>
      <c r="R28" s="267">
        <f t="shared" si="2"/>
        <v>82280315.590000004</v>
      </c>
      <c r="S28" s="267">
        <f t="shared" si="2"/>
        <v>65877812</v>
      </c>
      <c r="T28" s="267">
        <f t="shared" si="1"/>
        <v>11968700</v>
      </c>
      <c r="U28" s="267">
        <f t="shared" si="1"/>
        <v>9261812.1999999993</v>
      </c>
      <c r="V28" s="267">
        <f>SUM(V8:V27)</f>
        <v>3635605110</v>
      </c>
      <c r="W28" s="267">
        <f>SUM(W8:W27)</f>
        <v>2669092960</v>
      </c>
      <c r="X28" s="267">
        <f t="shared" si="1"/>
        <v>6824281217</v>
      </c>
      <c r="Y28" s="267">
        <f t="shared" si="1"/>
        <v>5283150960</v>
      </c>
      <c r="Z28" s="267">
        <f t="shared" si="1"/>
        <v>32848500</v>
      </c>
      <c r="AA28" s="267">
        <f t="shared" si="1"/>
        <v>25035579</v>
      </c>
      <c r="AB28" s="267">
        <f>SUM(AB8:AB27)</f>
        <v>216000</v>
      </c>
      <c r="AC28" s="267">
        <f>SUM(AC8:AC27)</f>
        <v>28646.5</v>
      </c>
      <c r="AD28" s="267">
        <f t="shared" si="1"/>
        <v>48366700</v>
      </c>
      <c r="AE28" s="267">
        <f t="shared" si="1"/>
        <v>40794000</v>
      </c>
      <c r="AF28" s="267">
        <f t="shared" si="1"/>
        <v>21032000</v>
      </c>
      <c r="AG28" s="267">
        <f t="shared" si="1"/>
        <v>21032000</v>
      </c>
      <c r="AH28" s="267">
        <f t="shared" si="1"/>
        <v>18000000</v>
      </c>
      <c r="AI28" s="267">
        <f t="shared" si="1"/>
        <v>14064000</v>
      </c>
      <c r="AJ28" s="267">
        <f>SUM(AJ8:AJ27)</f>
        <v>34891635</v>
      </c>
      <c r="AK28" s="267">
        <f>SUM(AK8:AK27)</f>
        <v>20700952.800000001</v>
      </c>
      <c r="AL28" s="267">
        <f t="shared" si="1"/>
        <v>14989290</v>
      </c>
      <c r="AM28" s="267">
        <f t="shared" si="1"/>
        <v>11241967.5</v>
      </c>
      <c r="AP28" s="407"/>
      <c r="AQ28" s="266"/>
      <c r="AR28" s="266"/>
      <c r="AS28" s="266"/>
    </row>
    <row r="29" spans="1:45" x14ac:dyDescent="0.25">
      <c r="B29" s="413"/>
      <c r="C29" s="413"/>
      <c r="D29" s="413"/>
      <c r="E29" s="413"/>
      <c r="F29" s="413"/>
      <c r="G29" s="413"/>
      <c r="H29" s="413"/>
      <c r="I29" s="413"/>
      <c r="J29" s="413"/>
      <c r="K29" s="413"/>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P29" s="407"/>
      <c r="AQ29" s="266"/>
      <c r="AR29" s="266"/>
      <c r="AS29" s="266"/>
    </row>
    <row r="30" spans="1:45" x14ac:dyDescent="0.25">
      <c r="B30" s="413"/>
      <c r="C30" s="413"/>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P30" s="407"/>
      <c r="AQ30" s="266"/>
      <c r="AR30" s="266"/>
      <c r="AS30" s="266"/>
    </row>
    <row r="31" spans="1:45" ht="21" customHeight="1" x14ac:dyDescent="0.25">
      <c r="A31" s="410" t="s">
        <v>60</v>
      </c>
      <c r="B31" s="409">
        <f t="shared" ref="B31:AM31" si="3">SUM(B8:B25)</f>
        <v>5676165673.5999994</v>
      </c>
      <c r="C31" s="409">
        <f t="shared" si="3"/>
        <v>4411584243.6399994</v>
      </c>
      <c r="D31" s="409">
        <f t="shared" ref="D31:E31" si="4">SUM(D8:D25)</f>
        <v>0</v>
      </c>
      <c r="E31" s="409">
        <f t="shared" si="4"/>
        <v>0</v>
      </c>
      <c r="F31" s="409">
        <f t="shared" si="3"/>
        <v>29990000</v>
      </c>
      <c r="G31" s="409">
        <f t="shared" si="3"/>
        <v>22136094</v>
      </c>
      <c r="H31" s="409">
        <f>SUM(H8:H25)</f>
        <v>143315060.01000005</v>
      </c>
      <c r="I31" s="409">
        <f>SUM(I8:I25)</f>
        <v>97795020</v>
      </c>
      <c r="J31" s="409">
        <f>SUM(J8:J25)</f>
        <v>53002870</v>
      </c>
      <c r="K31" s="409">
        <f>SUM(K8:K25)</f>
        <v>51795430</v>
      </c>
      <c r="L31" s="409">
        <f t="shared" si="3"/>
        <v>16848100</v>
      </c>
      <c r="M31" s="409">
        <f t="shared" si="3"/>
        <v>13425000</v>
      </c>
      <c r="N31" s="409">
        <f t="shared" si="3"/>
        <v>1055250</v>
      </c>
      <c r="O31" s="409">
        <f t="shared" si="3"/>
        <v>552750</v>
      </c>
      <c r="P31" s="409">
        <f t="shared" ref="P31:S31" si="5">SUM(P8:P25)</f>
        <v>11609760</v>
      </c>
      <c r="Q31" s="409">
        <f t="shared" si="5"/>
        <v>8946800</v>
      </c>
      <c r="R31" s="409">
        <f t="shared" si="5"/>
        <v>50006105.590000004</v>
      </c>
      <c r="S31" s="409">
        <f t="shared" si="5"/>
        <v>39722712</v>
      </c>
      <c r="T31" s="409">
        <f t="shared" si="3"/>
        <v>9802400</v>
      </c>
      <c r="U31" s="409">
        <f t="shared" si="3"/>
        <v>7637167.2000000002</v>
      </c>
      <c r="V31" s="409">
        <f>SUM(V8:V25)</f>
        <v>1293227790</v>
      </c>
      <c r="W31" s="409">
        <f>SUM(W8:W25)</f>
        <v>968072800</v>
      </c>
      <c r="X31" s="409">
        <f t="shared" si="3"/>
        <v>3993178800</v>
      </c>
      <c r="Y31" s="409">
        <f t="shared" si="3"/>
        <v>3145669175</v>
      </c>
      <c r="Z31" s="409">
        <f t="shared" si="3"/>
        <v>485579</v>
      </c>
      <c r="AA31" s="409">
        <f t="shared" si="3"/>
        <v>485579</v>
      </c>
      <c r="AB31" s="409">
        <f>SUM(AB8:AB25)</f>
        <v>91000</v>
      </c>
      <c r="AC31" s="409">
        <f>SUM(AC8:AC25)</f>
        <v>25000</v>
      </c>
      <c r="AD31" s="409">
        <f t="shared" si="3"/>
        <v>35911700</v>
      </c>
      <c r="AE31" s="409">
        <f t="shared" si="3"/>
        <v>29958000</v>
      </c>
      <c r="AF31" s="409">
        <f t="shared" si="3"/>
        <v>0</v>
      </c>
      <c r="AG31" s="409">
        <f t="shared" si="3"/>
        <v>0</v>
      </c>
      <c r="AH31" s="409">
        <f t="shared" si="3"/>
        <v>11586100</v>
      </c>
      <c r="AI31" s="409">
        <f t="shared" si="3"/>
        <v>9192000</v>
      </c>
      <c r="AJ31" s="409">
        <f>SUM(AJ8:AJ25)</f>
        <v>11065869</v>
      </c>
      <c r="AK31" s="409">
        <f>SUM(AK8:AK25)</f>
        <v>4928748.9399999995</v>
      </c>
      <c r="AL31" s="409">
        <f t="shared" si="3"/>
        <v>14989290</v>
      </c>
      <c r="AM31" s="409">
        <f t="shared" si="3"/>
        <v>11241967.5</v>
      </c>
      <c r="AP31" s="407"/>
      <c r="AQ31" s="266"/>
      <c r="AR31" s="266"/>
      <c r="AS31" s="266"/>
    </row>
    <row r="32" spans="1:45" ht="21" customHeight="1" x14ac:dyDescent="0.25">
      <c r="A32" s="410" t="s">
        <v>126</v>
      </c>
      <c r="B32" s="409">
        <f t="shared" ref="B32:AM32" si="6">SUM(B26:B27)</f>
        <v>5538215445.2099991</v>
      </c>
      <c r="C32" s="409">
        <f t="shared" si="6"/>
        <v>4092563424.3600001</v>
      </c>
      <c r="D32" s="409">
        <f>SUM(D26:D27)</f>
        <v>0</v>
      </c>
      <c r="E32" s="409">
        <f>SUM(E26:E27)</f>
        <v>0</v>
      </c>
      <c r="F32" s="409">
        <f t="shared" si="6"/>
        <v>0</v>
      </c>
      <c r="G32" s="409">
        <f t="shared" si="6"/>
        <v>0</v>
      </c>
      <c r="H32" s="409">
        <f>SUM(H26:H27)</f>
        <v>175086631.20999998</v>
      </c>
      <c r="I32" s="409">
        <f>SUM(I26:I27)</f>
        <v>102896834</v>
      </c>
      <c r="J32" s="409">
        <f>SUM(J26:J27)</f>
        <v>38027380</v>
      </c>
      <c r="K32" s="409">
        <f>SUM(K26:K27)</f>
        <v>30950000</v>
      </c>
      <c r="L32" s="409">
        <f t="shared" si="6"/>
        <v>7077500</v>
      </c>
      <c r="M32" s="409">
        <f t="shared" si="6"/>
        <v>5159300</v>
      </c>
      <c r="N32" s="409">
        <f t="shared" si="6"/>
        <v>1356750</v>
      </c>
      <c r="O32" s="409">
        <f t="shared" si="6"/>
        <v>1155750</v>
      </c>
      <c r="P32" s="409">
        <f t="shared" ref="P32:S32" si="7">SUM(P26:P27)</f>
        <v>12532349.999999998</v>
      </c>
      <c r="Q32" s="409">
        <f t="shared" si="7"/>
        <v>9054000</v>
      </c>
      <c r="R32" s="409">
        <f t="shared" si="7"/>
        <v>32274209.999999996</v>
      </c>
      <c r="S32" s="409">
        <f t="shared" si="7"/>
        <v>26155100</v>
      </c>
      <c r="T32" s="409">
        <f t="shared" si="6"/>
        <v>2166300</v>
      </c>
      <c r="U32" s="409">
        <f t="shared" si="6"/>
        <v>1624645</v>
      </c>
      <c r="V32" s="409">
        <f>SUM(V26:V27)</f>
        <v>2342377320</v>
      </c>
      <c r="W32" s="409">
        <f>SUM(W26:W27)</f>
        <v>1701020160</v>
      </c>
      <c r="X32" s="409">
        <f t="shared" si="6"/>
        <v>2831102416.9999995</v>
      </c>
      <c r="Y32" s="409">
        <f t="shared" si="6"/>
        <v>2137481785</v>
      </c>
      <c r="Z32" s="409">
        <f t="shared" si="6"/>
        <v>32362921</v>
      </c>
      <c r="AA32" s="409">
        <f t="shared" si="6"/>
        <v>24550000</v>
      </c>
      <c r="AB32" s="409">
        <f>SUM(AB26:AB27)</f>
        <v>125000</v>
      </c>
      <c r="AC32" s="409">
        <f>SUM(AC26:AC27)</f>
        <v>3646.5</v>
      </c>
      <c r="AD32" s="409">
        <f t="shared" si="6"/>
        <v>12455000</v>
      </c>
      <c r="AE32" s="409">
        <f t="shared" si="6"/>
        <v>10836000</v>
      </c>
      <c r="AF32" s="409">
        <f t="shared" si="6"/>
        <v>21032000</v>
      </c>
      <c r="AG32" s="409">
        <f t="shared" si="6"/>
        <v>21032000</v>
      </c>
      <c r="AH32" s="409">
        <f t="shared" si="6"/>
        <v>6413900</v>
      </c>
      <c r="AI32" s="409">
        <f t="shared" si="6"/>
        <v>4872000</v>
      </c>
      <c r="AJ32" s="409">
        <f>SUM(AJ26:AJ27)</f>
        <v>23825766</v>
      </c>
      <c r="AK32" s="409">
        <f>SUM(AK26:AK27)</f>
        <v>15772203.859999999</v>
      </c>
      <c r="AL32" s="409">
        <f t="shared" si="6"/>
        <v>0</v>
      </c>
      <c r="AM32" s="409">
        <f t="shared" si="6"/>
        <v>0</v>
      </c>
      <c r="AP32" s="407"/>
      <c r="AQ32" s="266"/>
      <c r="AR32" s="266"/>
      <c r="AS32" s="266"/>
    </row>
    <row r="33" spans="1:45" ht="17.25" customHeight="1" x14ac:dyDescent="0.25">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P33" s="407"/>
      <c r="AQ33" s="266"/>
      <c r="AR33" s="266"/>
      <c r="AS33" s="266"/>
    </row>
    <row r="34" spans="1:45" ht="17.25" customHeight="1" x14ac:dyDescent="0.25">
      <c r="A34" s="408"/>
      <c r="AP34" s="407"/>
      <c r="AQ34" s="266"/>
      <c r="AR34" s="266"/>
      <c r="AS34" s="266"/>
    </row>
    <row r="35" spans="1:45" ht="17.25" customHeight="1" x14ac:dyDescent="0.25">
      <c r="A35" s="408"/>
      <c r="O35" s="1555"/>
      <c r="Q35" s="1556"/>
      <c r="AP35" s="407"/>
      <c r="AQ35" s="266"/>
      <c r="AR35" s="266"/>
      <c r="AS35" s="266"/>
    </row>
    <row r="36" spans="1:45" ht="18" x14ac:dyDescent="0.25">
      <c r="A36" s="408"/>
      <c r="B36" s="412"/>
      <c r="C36" s="412"/>
      <c r="D36" s="412"/>
      <c r="E36" s="412"/>
      <c r="O36" s="1555"/>
      <c r="Q36" s="1556"/>
      <c r="AP36" s="407"/>
      <c r="AQ36" s="266"/>
      <c r="AR36" s="266"/>
      <c r="AS36" s="266"/>
    </row>
    <row r="37" spans="1:45" ht="17.25" customHeight="1" x14ac:dyDescent="0.25">
      <c r="A37" s="408"/>
      <c r="B37" s="412"/>
      <c r="C37" s="412"/>
      <c r="D37" s="412"/>
      <c r="E37" s="412"/>
      <c r="O37" s="1555"/>
      <c r="Q37" s="1556"/>
      <c r="AP37" s="407"/>
      <c r="AQ37" s="266"/>
      <c r="AR37" s="266"/>
      <c r="AS37" s="266"/>
    </row>
    <row r="38" spans="1:45" ht="17.25" customHeight="1" x14ac:dyDescent="0.25">
      <c r="A38" s="408"/>
      <c r="B38" s="412"/>
      <c r="C38" s="412"/>
      <c r="D38" s="412"/>
      <c r="E38" s="412"/>
      <c r="O38" s="1555"/>
      <c r="Q38" s="1556"/>
      <c r="AP38" s="407"/>
      <c r="AQ38" s="266"/>
      <c r="AR38" s="266"/>
      <c r="AS38" s="266"/>
    </row>
    <row r="39" spans="1:45" ht="17.25" customHeight="1" x14ac:dyDescent="0.25">
      <c r="A39" s="408"/>
      <c r="B39" s="412"/>
      <c r="C39" s="412"/>
      <c r="D39" s="412"/>
      <c r="E39" s="412"/>
      <c r="O39" s="1555"/>
      <c r="Q39" s="1556"/>
      <c r="AP39" s="407"/>
      <c r="AQ39" s="266"/>
      <c r="AR39" s="266"/>
      <c r="AS39" s="266"/>
    </row>
    <row r="40" spans="1:45" ht="17.25" customHeight="1" x14ac:dyDescent="0.25">
      <c r="O40" s="1555"/>
      <c r="Q40" s="1556"/>
      <c r="AP40" s="407"/>
      <c r="AQ40" s="266"/>
      <c r="AR40" s="266"/>
      <c r="AS40" s="266"/>
    </row>
    <row r="41" spans="1:45" ht="17.25" customHeight="1" x14ac:dyDescent="0.25">
      <c r="O41" s="1555"/>
      <c r="Q41" s="1556"/>
      <c r="AP41" s="407"/>
      <c r="AQ41" s="266"/>
      <c r="AR41" s="266"/>
      <c r="AS41" s="266"/>
    </row>
    <row r="42" spans="1:45" ht="17.25" customHeight="1" x14ac:dyDescent="0.25">
      <c r="O42" s="1555"/>
      <c r="Q42" s="1556"/>
      <c r="AP42" s="407"/>
      <c r="AQ42" s="266"/>
      <c r="AR42" s="266"/>
      <c r="AS42" s="266"/>
    </row>
    <row r="43" spans="1:45" ht="17.25" customHeight="1" x14ac:dyDescent="0.25">
      <c r="O43" s="1555"/>
      <c r="Q43" s="1556"/>
      <c r="AP43" s="407"/>
      <c r="AQ43" s="266"/>
      <c r="AR43" s="266"/>
      <c r="AS43" s="266"/>
    </row>
    <row r="44" spans="1:45" ht="17.25" customHeight="1" x14ac:dyDescent="0.25">
      <c r="O44" s="1555"/>
      <c r="Q44" s="1556"/>
      <c r="AP44" s="403"/>
      <c r="AQ44" s="401"/>
      <c r="AR44" s="401"/>
      <c r="AS44" s="401"/>
    </row>
    <row r="45" spans="1:45" ht="18" x14ac:dyDescent="0.25">
      <c r="O45" s="1555"/>
      <c r="Q45" s="1556"/>
    </row>
    <row r="46" spans="1:45" ht="18" x14ac:dyDescent="0.25">
      <c r="O46" s="1555"/>
      <c r="Q46" s="1556"/>
    </row>
    <row r="47" spans="1:45" ht="18" x14ac:dyDescent="0.25">
      <c r="O47" s="1555"/>
      <c r="Q47" s="1556"/>
    </row>
    <row r="48" spans="1:45" ht="18" x14ac:dyDescent="0.25">
      <c r="O48" s="1555"/>
      <c r="Q48" s="1556"/>
    </row>
    <row r="49" spans="15:17" ht="18" x14ac:dyDescent="0.25">
      <c r="O49" s="1555"/>
      <c r="Q49" s="1556"/>
    </row>
    <row r="50" spans="15:17" ht="18" x14ac:dyDescent="0.25">
      <c r="O50" s="1555"/>
      <c r="Q50" s="1556"/>
    </row>
    <row r="51" spans="15:17" ht="18" x14ac:dyDescent="0.25">
      <c r="O51" s="1555"/>
      <c r="Q51" s="1556"/>
    </row>
    <row r="52" spans="15:17" x14ac:dyDescent="0.25">
      <c r="O52" s="397"/>
      <c r="Q52" s="1556"/>
    </row>
  </sheetData>
  <mergeCells count="40">
    <mergeCell ref="C2:H2"/>
    <mergeCell ref="I2:K2"/>
    <mergeCell ref="A5:A6"/>
    <mergeCell ref="B5:C6"/>
    <mergeCell ref="F5:G5"/>
    <mergeCell ref="H6:I6"/>
    <mergeCell ref="H5:I5"/>
    <mergeCell ref="F6:G6"/>
    <mergeCell ref="D5:E5"/>
    <mergeCell ref="D6:E6"/>
    <mergeCell ref="R6:S6"/>
    <mergeCell ref="T5:U5"/>
    <mergeCell ref="AL6:AM6"/>
    <mergeCell ref="J5:K5"/>
    <mergeCell ref="J6:K6"/>
    <mergeCell ref="N6:O6"/>
    <mergeCell ref="AD6:AE6"/>
    <mergeCell ref="R5:S5"/>
    <mergeCell ref="L6:M6"/>
    <mergeCell ref="AL5:AM5"/>
    <mergeCell ref="AH6:AI6"/>
    <mergeCell ref="L5:M5"/>
    <mergeCell ref="N5:O5"/>
    <mergeCell ref="AB6:AC6"/>
    <mergeCell ref="P5:Q5"/>
    <mergeCell ref="P6:Q6"/>
    <mergeCell ref="V5:W5"/>
    <mergeCell ref="AB5:AC5"/>
    <mergeCell ref="Z6:AA6"/>
    <mergeCell ref="T6:U6"/>
    <mergeCell ref="X5:Y5"/>
    <mergeCell ref="X6:Y6"/>
    <mergeCell ref="V6:W6"/>
    <mergeCell ref="AJ5:AK5"/>
    <mergeCell ref="AJ6:AK6"/>
    <mergeCell ref="AF5:AG5"/>
    <mergeCell ref="AF6:AG6"/>
    <mergeCell ref="Z5:AA5"/>
    <mergeCell ref="AD5:AE5"/>
    <mergeCell ref="AH5:AI5"/>
  </mergeCells>
  <phoneticPr fontId="0" type="noConversion"/>
  <pageMargins left="0.78740157480314965" right="0.39370078740157483" top="0.78740157480314965" bottom="0.59055118110236227" header="0.51181102362204722" footer="0.51181102362204722"/>
  <pageSetup paperSize="9" scale="47" fitToWidth="15" orientation="landscape" r:id="rId1"/>
  <headerFooter alignWithMargins="0">
    <oddFooter>&amp;L&amp;P&amp;R&amp;Z&amp;F&amp;A</oddFooter>
  </headerFooter>
  <colBreaks count="3" manualBreakCount="3">
    <brk id="11" max="31" man="1"/>
    <brk id="21" max="31" man="1"/>
    <brk id="3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2"/>
  <dimension ref="A1:BJ79"/>
  <sheetViews>
    <sheetView topLeftCell="A2" zoomScale="60" zoomScaleNormal="60" workbookViewId="0">
      <pane xSplit="1" ySplit="9" topLeftCell="B29" activePane="bottomRight" state="frozen"/>
      <selection activeCell="A2" sqref="A2"/>
      <selection pane="topRight" activeCell="B2" sqref="B2"/>
      <selection pane="bottomLeft" activeCell="A11" sqref="A11"/>
      <selection pane="bottomRight" activeCell="AJ42" sqref="AJ42"/>
    </sheetView>
  </sheetViews>
  <sheetFormatPr defaultRowHeight="12.75" x14ac:dyDescent="0.2"/>
  <cols>
    <col min="1" max="1" width="24.5703125" customWidth="1"/>
    <col min="2" max="2" width="22.42578125" customWidth="1"/>
    <col min="3" max="4" width="21.5703125" customWidth="1"/>
    <col min="5" max="5" width="22.42578125" customWidth="1"/>
    <col min="6" max="6" width="19.5703125" customWidth="1"/>
    <col min="7" max="7" width="16.85546875" hidden="1" customWidth="1"/>
    <col min="8" max="8" width="21.42578125" customWidth="1"/>
    <col min="9" max="9" width="20.42578125" customWidth="1"/>
    <col min="10" max="10" width="22.5703125" customWidth="1"/>
    <col min="11" max="11" width="20.85546875" customWidth="1"/>
    <col min="12" max="12" width="19.42578125" customWidth="1"/>
    <col min="13" max="13" width="18.42578125" hidden="1" customWidth="1"/>
    <col min="14" max="14" width="22" customWidth="1"/>
    <col min="15" max="16" width="20.5703125" customWidth="1"/>
    <col min="17" max="17" width="18.42578125" customWidth="1"/>
    <col min="18" max="18" width="18.5703125" customWidth="1"/>
    <col min="19" max="19" width="17.42578125" hidden="1" customWidth="1"/>
    <col min="20" max="20" width="19.42578125" customWidth="1"/>
    <col min="21" max="21" width="21.140625" customWidth="1"/>
    <col min="22" max="22" width="18.140625" customWidth="1"/>
    <col min="23" max="23" width="18" customWidth="1"/>
    <col min="24" max="24" width="19.140625" customWidth="1"/>
    <col min="25" max="25" width="1.5703125" hidden="1" customWidth="1"/>
    <col min="26" max="26" width="21" customWidth="1"/>
    <col min="27" max="27" width="19.85546875" customWidth="1"/>
    <col min="28" max="28" width="18.42578125" customWidth="1"/>
    <col min="29" max="29" width="17.42578125" customWidth="1"/>
    <col min="30" max="30" width="18.5703125" customWidth="1"/>
    <col min="31" max="31" width="17.42578125" hidden="1" customWidth="1"/>
    <col min="32" max="32" width="21.42578125" customWidth="1"/>
    <col min="33" max="33" width="21.140625" customWidth="1"/>
    <col min="34" max="35" width="20.5703125" customWidth="1"/>
    <col min="36" max="36" width="19.5703125" customWidth="1"/>
    <col min="37" max="37" width="18" hidden="1" customWidth="1"/>
    <col min="38" max="38" width="21.42578125" customWidth="1"/>
    <col min="39" max="39" width="20.5703125" customWidth="1"/>
    <col min="40" max="40" width="19.42578125" customWidth="1"/>
    <col min="41" max="41" width="20.5703125" customWidth="1"/>
    <col min="42" max="42" width="19.5703125" customWidth="1"/>
    <col min="43" max="43" width="17.42578125" hidden="1" customWidth="1"/>
    <col min="44" max="44" width="20.140625" bestFit="1" customWidth="1"/>
    <col min="45" max="45" width="20.85546875" customWidth="1"/>
    <col min="46" max="46" width="20" customWidth="1"/>
    <col min="47" max="47" width="18.5703125" customWidth="1"/>
    <col min="48" max="48" width="18.42578125" customWidth="1"/>
    <col min="49" max="49" width="17.5703125" hidden="1" customWidth="1"/>
    <col min="50" max="50" width="20.5703125" customWidth="1"/>
    <col min="51" max="51" width="18.5703125" bestFit="1" customWidth="1"/>
    <col min="52" max="53" width="18.140625" customWidth="1"/>
    <col min="54" max="54" width="18.5703125" customWidth="1"/>
    <col min="55" max="55" width="16.5703125" hidden="1" customWidth="1"/>
    <col min="56" max="56" width="18.140625" customWidth="1"/>
    <col min="57" max="57" width="18.5703125" customWidth="1"/>
    <col min="58" max="58" width="19.42578125" customWidth="1"/>
    <col min="59" max="59" width="16.5703125" customWidth="1"/>
    <col min="60" max="60" width="19.85546875" customWidth="1"/>
    <col min="61" max="61" width="16.5703125" hidden="1" customWidth="1"/>
  </cols>
  <sheetData>
    <row r="1" spans="1:62"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62" ht="16.5" x14ac:dyDescent="0.25">
      <c r="A2" s="1"/>
      <c r="D2" s="2" t="s">
        <v>28</v>
      </c>
      <c r="H2" s="3"/>
      <c r="I2" s="3"/>
      <c r="J2" s="3"/>
      <c r="K2" s="1"/>
      <c r="L2" s="1"/>
      <c r="M2" s="1"/>
      <c r="N2" s="1"/>
      <c r="O2" s="1"/>
      <c r="P2" s="1"/>
      <c r="Q2" s="1"/>
      <c r="R2" s="1"/>
      <c r="S2" s="1"/>
      <c r="T2" s="1"/>
      <c r="U2" s="1"/>
      <c r="V2" s="1"/>
      <c r="W2" s="1"/>
      <c r="X2" s="1"/>
      <c r="Y2" s="1"/>
      <c r="Z2" s="1"/>
      <c r="AA2" s="1"/>
      <c r="AB2" s="1"/>
      <c r="AC2" s="1"/>
      <c r="AD2" s="1"/>
      <c r="AE2" s="1"/>
    </row>
    <row r="3" spans="1:62" ht="16.5" x14ac:dyDescent="0.25">
      <c r="A3" s="1"/>
      <c r="D3" s="2"/>
      <c r="E3" s="4" t="str">
        <f>'Проверочная  таблица'!H3</f>
        <v>ПО  СОСТОЯНИЮ  НА  1  ОКТЯБРЯ  2021  ГОДА</v>
      </c>
      <c r="F3" s="4"/>
      <c r="H3" s="3"/>
      <c r="I3" s="3"/>
      <c r="J3" s="3"/>
      <c r="K3" s="1"/>
      <c r="L3" s="1"/>
      <c r="M3" s="1"/>
      <c r="N3" s="1"/>
      <c r="O3" s="1"/>
      <c r="P3" s="1"/>
      <c r="Q3" s="1"/>
      <c r="R3" s="1"/>
      <c r="S3" s="1"/>
      <c r="T3" s="1"/>
      <c r="U3" s="1"/>
      <c r="V3" s="1"/>
      <c r="W3" s="1"/>
      <c r="X3" s="1"/>
      <c r="Y3" s="1"/>
      <c r="Z3" s="1"/>
      <c r="AA3" s="1"/>
      <c r="AB3" s="1"/>
      <c r="AC3" s="1"/>
      <c r="AD3" s="1"/>
      <c r="AE3" s="1"/>
    </row>
    <row r="4" spans="1:62"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62" ht="15.75" thickBot="1" x14ac:dyDescent="0.3">
      <c r="A5" s="1"/>
      <c r="B5" s="1"/>
      <c r="C5" s="1"/>
      <c r="D5" s="1"/>
      <c r="E5" s="1"/>
      <c r="F5" s="1"/>
      <c r="G5" s="1"/>
      <c r="H5" s="1"/>
      <c r="I5" s="1"/>
      <c r="J5" s="1"/>
      <c r="K5" s="1"/>
      <c r="L5" s="1"/>
      <c r="M5" s="1"/>
      <c r="AM5" s="1"/>
      <c r="AN5" s="1"/>
      <c r="AO5" s="1"/>
      <c r="AP5" s="1"/>
      <c r="AQ5" s="1"/>
      <c r="AU5" s="5" t="s">
        <v>20</v>
      </c>
      <c r="AV5" s="5"/>
    </row>
    <row r="6" spans="1:62" ht="18" customHeight="1" x14ac:dyDescent="0.2">
      <c r="A6" s="1833" t="s">
        <v>12</v>
      </c>
      <c r="B6" s="1827" t="s">
        <v>13</v>
      </c>
      <c r="C6" s="1828"/>
      <c r="D6" s="1828"/>
      <c r="E6" s="1828"/>
      <c r="F6" s="1828"/>
      <c r="G6" s="1828"/>
      <c r="H6" s="1828"/>
      <c r="I6" s="1828"/>
      <c r="J6" s="1828"/>
      <c r="K6" s="1828"/>
      <c r="L6" s="1828"/>
      <c r="M6" s="1828"/>
      <c r="N6" s="1828"/>
      <c r="O6" s="1828"/>
      <c r="P6" s="1828"/>
      <c r="Q6" s="1828"/>
      <c r="R6" s="1828"/>
      <c r="S6" s="1828"/>
      <c r="T6" s="1828"/>
      <c r="U6" s="1828"/>
      <c r="V6" s="1828"/>
      <c r="W6" s="1828"/>
      <c r="X6" s="1828"/>
      <c r="Y6" s="1828"/>
      <c r="Z6" s="1828"/>
      <c r="AA6" s="1828"/>
      <c r="AB6" s="1828"/>
      <c r="AC6" s="1828"/>
      <c r="AD6" s="1828"/>
      <c r="AE6" s="1835"/>
      <c r="AF6" s="1827" t="s">
        <v>14</v>
      </c>
      <c r="AG6" s="1828"/>
      <c r="AH6" s="1828"/>
      <c r="AI6" s="1828"/>
      <c r="AJ6" s="1828"/>
      <c r="AK6" s="1828"/>
      <c r="AL6" s="1828"/>
      <c r="AM6" s="1828"/>
      <c r="AN6" s="1828"/>
      <c r="AO6" s="1828"/>
      <c r="AP6" s="1828"/>
      <c r="AQ6" s="1828"/>
      <c r="AR6" s="1828"/>
      <c r="AS6" s="1828"/>
      <c r="AT6" s="1828"/>
      <c r="AU6" s="1828"/>
      <c r="AV6" s="1828"/>
      <c r="AW6" s="1828"/>
      <c r="AX6" s="1828"/>
      <c r="AY6" s="1828"/>
      <c r="AZ6" s="1828"/>
      <c r="BA6" s="1828"/>
      <c r="BB6" s="1828"/>
      <c r="BC6" s="1828"/>
      <c r="BD6" s="1828"/>
      <c r="BE6" s="1828"/>
      <c r="BF6" s="1828"/>
      <c r="BG6" s="1828"/>
      <c r="BH6" s="1828"/>
      <c r="BI6" s="1828"/>
      <c r="BJ6" s="996"/>
    </row>
    <row r="7" spans="1:62" ht="18" customHeight="1" thickBot="1" x14ac:dyDescent="0.25">
      <c r="A7" s="1837"/>
      <c r="B7" s="1829"/>
      <c r="C7" s="1830"/>
      <c r="D7" s="1830"/>
      <c r="E7" s="1830"/>
      <c r="F7" s="1830"/>
      <c r="G7" s="1830"/>
      <c r="H7" s="1830"/>
      <c r="I7" s="1830"/>
      <c r="J7" s="1830"/>
      <c r="K7" s="1830"/>
      <c r="L7" s="1830"/>
      <c r="M7" s="1830"/>
      <c r="N7" s="1830"/>
      <c r="O7" s="1830"/>
      <c r="P7" s="1830"/>
      <c r="Q7" s="1830"/>
      <c r="R7" s="1830"/>
      <c r="S7" s="1830"/>
      <c r="T7" s="1830"/>
      <c r="U7" s="1830"/>
      <c r="V7" s="1830"/>
      <c r="W7" s="1830"/>
      <c r="X7" s="1830"/>
      <c r="Y7" s="1830"/>
      <c r="Z7" s="1830"/>
      <c r="AA7" s="1830"/>
      <c r="AB7" s="1830"/>
      <c r="AC7" s="1830"/>
      <c r="AD7" s="1830"/>
      <c r="AE7" s="1836"/>
      <c r="AF7" s="1829"/>
      <c r="AG7" s="1830"/>
      <c r="AH7" s="1830"/>
      <c r="AI7" s="1830"/>
      <c r="AJ7" s="1830"/>
      <c r="AK7" s="1830"/>
      <c r="AL7" s="1830"/>
      <c r="AM7" s="1830"/>
      <c r="AN7" s="1830"/>
      <c r="AO7" s="1830"/>
      <c r="AP7" s="1830"/>
      <c r="AQ7" s="1830"/>
      <c r="AR7" s="1830"/>
      <c r="AS7" s="1830"/>
      <c r="AT7" s="1830"/>
      <c r="AU7" s="1830"/>
      <c r="AV7" s="1830"/>
      <c r="AW7" s="1830"/>
      <c r="AX7" s="1830"/>
      <c r="AY7" s="1830"/>
      <c r="AZ7" s="1830"/>
      <c r="BA7" s="1830"/>
      <c r="BB7" s="1830"/>
      <c r="BC7" s="1830"/>
      <c r="BD7" s="1830"/>
      <c r="BE7" s="1830"/>
      <c r="BF7" s="1830"/>
      <c r="BG7" s="1830"/>
      <c r="BH7" s="1830"/>
      <c r="BI7" s="1830"/>
      <c r="BJ7" s="996"/>
    </row>
    <row r="8" spans="1:62" ht="18" customHeight="1" thickBot="1" x14ac:dyDescent="0.25">
      <c r="A8" s="1837"/>
      <c r="B8" s="1833" t="s">
        <v>15</v>
      </c>
      <c r="C8" s="1827" t="s">
        <v>37</v>
      </c>
      <c r="D8" s="1828"/>
      <c r="E8" s="1828"/>
      <c r="F8" s="1828"/>
      <c r="G8" s="1835"/>
      <c r="H8" s="1834" t="s">
        <v>38</v>
      </c>
      <c r="I8" s="1825"/>
      <c r="J8" s="1825"/>
      <c r="K8" s="1825"/>
      <c r="L8" s="1825"/>
      <c r="M8" s="1825"/>
      <c r="N8" s="1825"/>
      <c r="O8" s="1825"/>
      <c r="P8" s="1825"/>
      <c r="Q8" s="1825"/>
      <c r="R8" s="1825"/>
      <c r="S8" s="1826"/>
      <c r="T8" s="1822" t="s">
        <v>118</v>
      </c>
      <c r="U8" s="1823"/>
      <c r="V8" s="1823"/>
      <c r="W8" s="1823"/>
      <c r="X8" s="1823"/>
      <c r="Y8" s="1824"/>
      <c r="Z8" s="1822" t="s">
        <v>117</v>
      </c>
      <c r="AA8" s="1823"/>
      <c r="AB8" s="1823"/>
      <c r="AC8" s="1823"/>
      <c r="AD8" s="1823"/>
      <c r="AE8" s="1824"/>
      <c r="AF8" s="1833" t="s">
        <v>15</v>
      </c>
      <c r="AG8" s="1827" t="s">
        <v>37</v>
      </c>
      <c r="AH8" s="1828"/>
      <c r="AI8" s="1828"/>
      <c r="AJ8" s="1828"/>
      <c r="AK8" s="1835"/>
      <c r="AL8" s="1834" t="s">
        <v>38</v>
      </c>
      <c r="AM8" s="1825"/>
      <c r="AN8" s="1825"/>
      <c r="AO8" s="1825"/>
      <c r="AP8" s="1825"/>
      <c r="AQ8" s="1825"/>
      <c r="AR8" s="1825"/>
      <c r="AS8" s="1825"/>
      <c r="AT8" s="1825"/>
      <c r="AU8" s="1825"/>
      <c r="AV8" s="1825"/>
      <c r="AW8" s="1826"/>
      <c r="AX8" s="1822" t="s">
        <v>118</v>
      </c>
      <c r="AY8" s="1823"/>
      <c r="AZ8" s="1823"/>
      <c r="BA8" s="1823"/>
      <c r="BB8" s="1823"/>
      <c r="BC8" s="1824"/>
      <c r="BD8" s="1822" t="s">
        <v>117</v>
      </c>
      <c r="BE8" s="1823"/>
      <c r="BF8" s="1823"/>
      <c r="BG8" s="1823"/>
      <c r="BH8" s="1823"/>
      <c r="BI8" s="1823"/>
      <c r="BJ8" s="996"/>
    </row>
    <row r="9" spans="1:62" ht="18" customHeight="1" thickBot="1" x14ac:dyDescent="0.25">
      <c r="A9" s="1837"/>
      <c r="B9" s="1837"/>
      <c r="C9" s="1829"/>
      <c r="D9" s="1830"/>
      <c r="E9" s="1830"/>
      <c r="F9" s="1830"/>
      <c r="G9" s="1836"/>
      <c r="H9" s="1833" t="s">
        <v>97</v>
      </c>
      <c r="I9" s="1829" t="s">
        <v>98</v>
      </c>
      <c r="J9" s="1830"/>
      <c r="K9" s="1830"/>
      <c r="L9" s="1830"/>
      <c r="M9" s="1830"/>
      <c r="N9" s="1833" t="s">
        <v>99</v>
      </c>
      <c r="O9" s="1825" t="s">
        <v>98</v>
      </c>
      <c r="P9" s="1825"/>
      <c r="Q9" s="1825"/>
      <c r="R9" s="1825"/>
      <c r="S9" s="1826"/>
      <c r="T9" s="1831" t="s">
        <v>99</v>
      </c>
      <c r="U9" s="1823" t="s">
        <v>98</v>
      </c>
      <c r="V9" s="1823"/>
      <c r="W9" s="1823"/>
      <c r="X9" s="1823"/>
      <c r="Y9" s="1824"/>
      <c r="Z9" s="1831" t="s">
        <v>99</v>
      </c>
      <c r="AA9" s="1823" t="s">
        <v>98</v>
      </c>
      <c r="AB9" s="1823"/>
      <c r="AC9" s="1823"/>
      <c r="AD9" s="1823"/>
      <c r="AE9" s="1824"/>
      <c r="AF9" s="1837"/>
      <c r="AG9" s="1829"/>
      <c r="AH9" s="1830"/>
      <c r="AI9" s="1830"/>
      <c r="AJ9" s="1830"/>
      <c r="AK9" s="1836"/>
      <c r="AL9" s="1833" t="s">
        <v>97</v>
      </c>
      <c r="AM9" s="1829" t="s">
        <v>98</v>
      </c>
      <c r="AN9" s="1830"/>
      <c r="AO9" s="1830"/>
      <c r="AP9" s="1830"/>
      <c r="AQ9" s="1830"/>
      <c r="AR9" s="1833" t="s">
        <v>99</v>
      </c>
      <c r="AS9" s="1825" t="s">
        <v>98</v>
      </c>
      <c r="AT9" s="1825"/>
      <c r="AU9" s="1825"/>
      <c r="AV9" s="1825"/>
      <c r="AW9" s="1826"/>
      <c r="AX9" s="1831" t="s">
        <v>99</v>
      </c>
      <c r="AY9" s="1823" t="s">
        <v>98</v>
      </c>
      <c r="AZ9" s="1823"/>
      <c r="BA9" s="1823"/>
      <c r="BB9" s="1823"/>
      <c r="BC9" s="1824"/>
      <c r="BD9" s="1831" t="s">
        <v>99</v>
      </c>
      <c r="BE9" s="1823" t="s">
        <v>98</v>
      </c>
      <c r="BF9" s="1823"/>
      <c r="BG9" s="1823"/>
      <c r="BH9" s="1823"/>
      <c r="BI9" s="1823"/>
      <c r="BJ9" s="996"/>
    </row>
    <row r="10" spans="1:62" ht="47.25" customHeight="1" thickBot="1" x14ac:dyDescent="0.25">
      <c r="A10" s="1838"/>
      <c r="B10" s="1837"/>
      <c r="C10" s="8" t="s">
        <v>100</v>
      </c>
      <c r="D10" s="211" t="s">
        <v>101</v>
      </c>
      <c r="E10" s="6" t="s">
        <v>77</v>
      </c>
      <c r="F10" s="10" t="s">
        <v>49</v>
      </c>
      <c r="G10" s="6" t="s">
        <v>78</v>
      </c>
      <c r="H10" s="1839"/>
      <c r="I10" s="6" t="s">
        <v>100</v>
      </c>
      <c r="J10" s="9" t="s">
        <v>101</v>
      </c>
      <c r="K10" s="6" t="s">
        <v>77</v>
      </c>
      <c r="L10" s="10" t="s">
        <v>49</v>
      </c>
      <c r="M10" s="7" t="s">
        <v>78</v>
      </c>
      <c r="N10" s="1837"/>
      <c r="O10" s="10" t="s">
        <v>100</v>
      </c>
      <c r="P10" s="10" t="s">
        <v>101</v>
      </c>
      <c r="Q10" s="10" t="s">
        <v>77</v>
      </c>
      <c r="R10" s="10" t="s">
        <v>49</v>
      </c>
      <c r="S10" s="10" t="s">
        <v>78</v>
      </c>
      <c r="T10" s="1840"/>
      <c r="U10" s="300" t="s">
        <v>100</v>
      </c>
      <c r="V10" s="299" t="s">
        <v>101</v>
      </c>
      <c r="W10" s="301" t="s">
        <v>77</v>
      </c>
      <c r="X10" s="299" t="s">
        <v>49</v>
      </c>
      <c r="Y10" s="302" t="s">
        <v>78</v>
      </c>
      <c r="Z10" s="1840"/>
      <c r="AA10" s="336" t="s">
        <v>100</v>
      </c>
      <c r="AB10" s="336" t="s">
        <v>101</v>
      </c>
      <c r="AC10" s="301" t="s">
        <v>77</v>
      </c>
      <c r="AD10" s="336" t="s">
        <v>49</v>
      </c>
      <c r="AE10" s="302" t="s">
        <v>78</v>
      </c>
      <c r="AF10" s="1838"/>
      <c r="AG10" s="1030" t="s">
        <v>100</v>
      </c>
      <c r="AH10" s="1033" t="s">
        <v>101</v>
      </c>
      <c r="AI10" s="10" t="s">
        <v>77</v>
      </c>
      <c r="AJ10" s="10" t="s">
        <v>49</v>
      </c>
      <c r="AK10" s="10" t="s">
        <v>78</v>
      </c>
      <c r="AL10" s="1830"/>
      <c r="AM10" s="10" t="s">
        <v>100</v>
      </c>
      <c r="AN10" s="1031" t="s">
        <v>101</v>
      </c>
      <c r="AO10" s="10" t="s">
        <v>77</v>
      </c>
      <c r="AP10" s="10" t="s">
        <v>49</v>
      </c>
      <c r="AQ10" s="1032" t="s">
        <v>78</v>
      </c>
      <c r="AR10" s="1838"/>
      <c r="AS10" s="10" t="s">
        <v>100</v>
      </c>
      <c r="AT10" s="10" t="s">
        <v>101</v>
      </c>
      <c r="AU10" s="10" t="s">
        <v>77</v>
      </c>
      <c r="AV10" s="10" t="s">
        <v>49</v>
      </c>
      <c r="AW10" s="10" t="s">
        <v>78</v>
      </c>
      <c r="AX10" s="1832"/>
      <c r="AY10" s="1034" t="s">
        <v>100</v>
      </c>
      <c r="AZ10" s="336" t="s">
        <v>101</v>
      </c>
      <c r="BA10" s="1028" t="s">
        <v>77</v>
      </c>
      <c r="BB10" s="336" t="s">
        <v>49</v>
      </c>
      <c r="BC10" s="1029" t="s">
        <v>78</v>
      </c>
      <c r="BD10" s="1832"/>
      <c r="BE10" s="336" t="s">
        <v>100</v>
      </c>
      <c r="BF10" s="336" t="s">
        <v>101</v>
      </c>
      <c r="BG10" s="336" t="s">
        <v>77</v>
      </c>
      <c r="BH10" s="336" t="s">
        <v>49</v>
      </c>
      <c r="BI10" s="336" t="s">
        <v>78</v>
      </c>
    </row>
    <row r="11" spans="1:62" ht="21.75" customHeight="1" x14ac:dyDescent="0.25">
      <c r="A11" s="11" t="s">
        <v>79</v>
      </c>
      <c r="B11" s="12">
        <f>'Проверочная  таблица'!B12</f>
        <v>385916138.25999999</v>
      </c>
      <c r="C11" s="13">
        <f>'Проверочная  таблица'!D12</f>
        <v>138405346</v>
      </c>
      <c r="D11" s="212">
        <f>'Проверочная  таблица'!AI12</f>
        <v>68586071.149999991</v>
      </c>
      <c r="E11" s="12">
        <f>'Проверочная  таблица'!RA12</f>
        <v>166164583.09000003</v>
      </c>
      <c r="F11" s="18">
        <f>'Проверочная  таблица'!SK12</f>
        <v>12760138.02</v>
      </c>
      <c r="G11" s="18"/>
      <c r="H11" s="14">
        <f t="shared" ref="H11:L11" si="0">B11-N11</f>
        <v>314446523.55000001</v>
      </c>
      <c r="I11" s="15">
        <f t="shared" si="0"/>
        <v>81588264</v>
      </c>
      <c r="J11" s="14">
        <f t="shared" si="0"/>
        <v>59138541.899999991</v>
      </c>
      <c r="K11" s="15">
        <f t="shared" si="0"/>
        <v>164575883.09000003</v>
      </c>
      <c r="L11" s="15">
        <f t="shared" si="0"/>
        <v>9143834.5599999987</v>
      </c>
      <c r="M11" s="14"/>
      <c r="N11" s="16">
        <f>SUM(O11:S11)</f>
        <v>71469614.709999993</v>
      </c>
      <c r="O11" s="15">
        <f>'Проверочная  таблица'!P12+'Проверочная  таблица'!AA12+'Проверочная  таблица'!H12</f>
        <v>56817082</v>
      </c>
      <c r="P11" s="22">
        <f>'Проверочная  таблица'!CE12+'Проверочная  таблица'!CU12+'Проверочная  таблица'!DC12+'Проверочная  таблица'!JK12+'Проверочная  таблица'!LI12+'Проверочная  таблица'!HW12+'Проверочная  таблица'!QU12+'Проверочная  таблица'!AW12+'Проверочная  таблица'!GS12+'Проверочная  таблица'!FW12+'Проверочная  таблица'!MG12+'Проверочная  таблица'!OE12+'Проверочная  таблица'!QA12</f>
        <v>9447529.2500000019</v>
      </c>
      <c r="Q11" s="16">
        <f>'Проверочная  таблица'!RM12</f>
        <v>1588700</v>
      </c>
      <c r="R11" s="12">
        <f>'Проверочная  таблица'!VC12+'Проверочная  таблица'!TC12+'Проверочная  таблица'!TQ12</f>
        <v>3616303.46</v>
      </c>
      <c r="S11" s="17"/>
      <c r="T11" s="303">
        <f>SUM(U11:Y11)</f>
        <v>71469614.709999993</v>
      </c>
      <c r="U11" s="303">
        <f>O11-AA11</f>
        <v>56817082</v>
      </c>
      <c r="V11" s="304">
        <f>P11-AB11</f>
        <v>9447529.2500000019</v>
      </c>
      <c r="W11" s="305">
        <f>Q11-AC11</f>
        <v>1588700</v>
      </c>
      <c r="X11" s="304">
        <f>R11-AD11</f>
        <v>3616303.46</v>
      </c>
      <c r="Y11" s="306"/>
      <c r="Z11" s="305">
        <f>SUM(AA11:AE11)</f>
        <v>0</v>
      </c>
      <c r="AA11" s="303">
        <f>'Проверочная  таблица'!AG12+'Проверочная  таблица'!T12+'Проверочная  таблица'!L12</f>
        <v>0</v>
      </c>
      <c r="AB11" s="304">
        <f>'Проверочная  таблица'!CY12+'Проверочная  таблица'!DG12+'Проверочная  таблица'!CQ12+'Проверочная  таблица'!QY12+'Проверочная  таблица'!KE12+'Проверочная  таблица'!IK12+'Проверочная  таблица'!LY12+'Проверочная  таблица'!BM12+'Проверочная  таблица'!HE12+'Проверочная  таблица'!GE12+'Проверочная  таблица'!NA12+'Проверочная  таблица'!PG12+'Проверочная  таблица'!QM12</f>
        <v>0</v>
      </c>
      <c r="AC11" s="305"/>
      <c r="AD11" s="307">
        <f>'Проверочная  таблица'!VO12+'Проверочная  таблица'!TI12+'Проверочная  таблица'!TY12</f>
        <v>0</v>
      </c>
      <c r="AE11" s="306"/>
      <c r="AF11" s="18">
        <f>'Проверочная  таблица'!C12</f>
        <v>266063409.08000001</v>
      </c>
      <c r="AG11" s="13">
        <f>'Проверочная  таблица'!E12</f>
        <v>111152536</v>
      </c>
      <c r="AH11" s="212">
        <f>'Проверочная  таблица'!AJ12</f>
        <v>20068721.199999999</v>
      </c>
      <c r="AI11" s="12">
        <f>'Проверочная  таблица'!RD12</f>
        <v>124474973.86000001</v>
      </c>
      <c r="AJ11" s="17">
        <f>'Проверочная  таблица'!SL12</f>
        <v>10367178.02</v>
      </c>
      <c r="AK11" s="18"/>
      <c r="AL11" s="14">
        <f t="shared" ref="AL11:AP11" si="1">AF11-AR11</f>
        <v>213808373.72000003</v>
      </c>
      <c r="AM11" s="15">
        <f t="shared" si="1"/>
        <v>66345474</v>
      </c>
      <c r="AN11" s="14">
        <f t="shared" si="1"/>
        <v>17225335.59</v>
      </c>
      <c r="AO11" s="15">
        <f t="shared" si="1"/>
        <v>123486689.57000001</v>
      </c>
      <c r="AP11" s="15">
        <f t="shared" si="1"/>
        <v>6750874.5599999996</v>
      </c>
      <c r="AQ11" s="14"/>
      <c r="AR11" s="16">
        <f>SUM(AS11:AW11)</f>
        <v>52255035.359999999</v>
      </c>
      <c r="AS11" s="16">
        <f>'Проверочная  таблица'!Q12+'Проверочная  таблица'!AB12+'Проверочная  таблица'!I12</f>
        <v>44807062</v>
      </c>
      <c r="AT11" s="15">
        <f>'Проверочная  таблица'!QV12+'Проверочная  таблица'!DD12+'Проверочная  таблица'!CV12+'Проверочная  таблица'!CJ12+'Проверочная  таблица'!JP12+'Проверочная  таблица'!HZ12+'Проверочная  таблица'!LM12+'Проверочная  таблица'!BA12+'Проверочная  таблица'!GV12+'Проверочная  таблица'!FZ12+'Проверочная  таблица'!ML12+'Проверочная  таблица'!OL12+'Проверочная  таблица'!QD12</f>
        <v>2843385.6100000003</v>
      </c>
      <c r="AU11" s="14">
        <f>'Проверочная  таблица'!RN12</f>
        <v>988284.29</v>
      </c>
      <c r="AV11" s="15">
        <f>'Проверочная  таблица'!VF12+'Проверочная  таблица'!TE12+'Проверочная  таблица'!TT12</f>
        <v>3616303.46</v>
      </c>
      <c r="AW11" s="18"/>
      <c r="AX11" s="303">
        <f>SUM(AY11:BC11)</f>
        <v>52255035.359999999</v>
      </c>
      <c r="AY11" s="303">
        <f>AS11-BE11</f>
        <v>44807062</v>
      </c>
      <c r="AZ11" s="304">
        <f t="shared" ref="AZ11:AZ28" si="2">AT11-BF11</f>
        <v>2843385.6100000003</v>
      </c>
      <c r="BA11" s="305">
        <f t="shared" ref="BA11:BA28" si="3">AU11-BG11</f>
        <v>988284.29</v>
      </c>
      <c r="BB11" s="304">
        <f t="shared" ref="BB11:BB28" si="4">AV11-BH11</f>
        <v>3616303.46</v>
      </c>
      <c r="BC11" s="306"/>
      <c r="BD11" s="305">
        <f>SUM(BE11:BI11)</f>
        <v>0</v>
      </c>
      <c r="BE11" s="304">
        <f>'Проверочная  таблица'!M12+'Проверочная  таблица'!U12+'Проверочная  таблица'!AH12</f>
        <v>0</v>
      </c>
      <c r="BF11" s="310">
        <f>'Проверочная  таблица'!CZ12+'Проверочная  таблица'!DH12+'Проверочная  таблица'!CR12+'Проверочная  таблица'!QZ12+'Проверочная  таблица'!KJ12+'Проверочная  таблица'!IN12+'Проверочная  таблица'!MC12+'Проверочная  таблица'!BQ12+'Проверочная  таблица'!HH12+'Проверочная  таблица'!GF12+'Проверочная  таблица'!NF12+'Проверочная  таблица'!PN12+'Проверочная  таблица'!QP12</f>
        <v>0</v>
      </c>
      <c r="BG11" s="303"/>
      <c r="BH11" s="307">
        <f>'Проверочная  таблица'!VR12+'Проверочная  таблица'!TJ12+'Проверочная  таблица'!TZ12</f>
        <v>0</v>
      </c>
      <c r="BI11" s="306"/>
    </row>
    <row r="12" spans="1:62" ht="21.75" customHeight="1" x14ac:dyDescent="0.25">
      <c r="A12" s="19" t="s">
        <v>80</v>
      </c>
      <c r="B12" s="20">
        <f>'Проверочная  таблица'!B13</f>
        <v>1615648892.8599999</v>
      </c>
      <c r="C12" s="21">
        <f>'Проверочная  таблица'!D13</f>
        <v>236796312</v>
      </c>
      <c r="D12" s="213">
        <f>'Проверочная  таблица'!AI13</f>
        <v>565030507.91999996</v>
      </c>
      <c r="E12" s="20">
        <f>'Проверочная  таблица'!RA13</f>
        <v>678665333.66999996</v>
      </c>
      <c r="F12" s="26">
        <f>'Проверочная  таблица'!SK13</f>
        <v>135156739.26999998</v>
      </c>
      <c r="G12" s="26"/>
      <c r="H12" s="22">
        <f t="shared" ref="H12:H28" si="5">B12-N12</f>
        <v>1142288414.78</v>
      </c>
      <c r="I12" s="23">
        <f t="shared" ref="I12:I28" si="6">C12-O12</f>
        <v>39535880</v>
      </c>
      <c r="J12" s="22">
        <f t="shared" ref="J12:J28" si="7">D12-P12</f>
        <v>392206989.16999996</v>
      </c>
      <c r="K12" s="23">
        <f t="shared" ref="K12:K28" si="8">E12-Q12</f>
        <v>676396833.66999996</v>
      </c>
      <c r="L12" s="23">
        <f t="shared" ref="L12:L28" si="9">F12-R12</f>
        <v>34148711.939999983</v>
      </c>
      <c r="M12" s="22"/>
      <c r="N12" s="24">
        <f t="shared" ref="N12:N28" si="10">SUM(O12:S12)</f>
        <v>473360478.07999998</v>
      </c>
      <c r="O12" s="23">
        <f>'Проверочная  таблица'!P13+'Проверочная  таблица'!AA13+'Проверочная  таблица'!H13</f>
        <v>197260432</v>
      </c>
      <c r="P12" s="22">
        <f>'Проверочная  таблица'!CE13+'Проверочная  таблица'!CU13+'Проверочная  таблица'!DC13+'Проверочная  таблица'!JK13+'Проверочная  таблица'!LI13+'Проверочная  таблица'!HW13+'Проверочная  таблица'!QU13+'Проверочная  таблица'!AW13+'Проверочная  таблица'!GS13+'Проверочная  таблица'!FW13+'Проверочная  таблица'!MG13+'Проверочная  таблица'!OE13+'Проверочная  таблица'!QA13</f>
        <v>172823518.75000003</v>
      </c>
      <c r="Q12" s="24">
        <f>'Проверочная  таблица'!RM13</f>
        <v>2268500</v>
      </c>
      <c r="R12" s="20">
        <f>'Проверочная  таблица'!VC13+'Проверочная  таблица'!TC13+'Проверочная  таблица'!TQ13</f>
        <v>101008027.33</v>
      </c>
      <c r="S12" s="25"/>
      <c r="T12" s="308">
        <f t="shared" ref="T12:T28" si="11">SUM(U12:Y12)</f>
        <v>85220798.900000036</v>
      </c>
      <c r="U12" s="308">
        <f t="shared" ref="U12:U28" si="12">O12-AA12</f>
        <v>75391830</v>
      </c>
      <c r="V12" s="309">
        <f t="shared" ref="V12:V28" si="13">P12-AB12</f>
        <v>3205262.7400000393</v>
      </c>
      <c r="W12" s="310">
        <f t="shared" ref="W12:W28" si="14">Q12-AC12</f>
        <v>2268500</v>
      </c>
      <c r="X12" s="309">
        <f t="shared" ref="X12:X28" si="15">R12-AD12</f>
        <v>4355206.1599999964</v>
      </c>
      <c r="Y12" s="311"/>
      <c r="Z12" s="310">
        <f t="shared" ref="Z12:Z28" si="16">SUM(AA12:AE12)</f>
        <v>388139679.18000001</v>
      </c>
      <c r="AA12" s="308">
        <f>'Проверочная  таблица'!AG13+'Проверочная  таблица'!T13+'Проверочная  таблица'!L13</f>
        <v>121868602</v>
      </c>
      <c r="AB12" s="309">
        <f>'Проверочная  таблица'!CY13+'Проверочная  таблица'!DG13+'Проверочная  таблица'!CQ13+'Проверочная  таблица'!QY13+'Проверочная  таблица'!KE13+'Проверочная  таблица'!IK13+'Проверочная  таблица'!LY13+'Проверочная  таблица'!BM13+'Проверочная  таблица'!HE13+'Проверочная  таблица'!GE13+'Проверочная  таблица'!NA13+'Проверочная  таблица'!PG13+'Проверочная  таблица'!QM13</f>
        <v>169618256.00999999</v>
      </c>
      <c r="AC12" s="310"/>
      <c r="AD12" s="312">
        <f>'Проверочная  таблица'!VO13+'Проверочная  таблица'!TI13+'Проверочная  таблица'!TY13</f>
        <v>96652821.170000002</v>
      </c>
      <c r="AE12" s="311"/>
      <c r="AF12" s="26">
        <f>'Проверочная  таблица'!C13</f>
        <v>1209899614.3899999</v>
      </c>
      <c r="AG12" s="21">
        <f>'Проверочная  таблица'!E13</f>
        <v>197730000</v>
      </c>
      <c r="AH12" s="213">
        <f>'Проверочная  таблица'!AJ13</f>
        <v>402657246.29999995</v>
      </c>
      <c r="AI12" s="20">
        <f>'Проверочная  таблица'!RD13</f>
        <v>507047388.81999999</v>
      </c>
      <c r="AJ12" s="25">
        <f>'Проверочная  таблица'!SL13</f>
        <v>102464979.27</v>
      </c>
      <c r="AK12" s="26"/>
      <c r="AL12" s="22">
        <f t="shared" ref="AL12:AL28" si="17">AF12-AR12</f>
        <v>827990624.8499999</v>
      </c>
      <c r="AM12" s="23">
        <f t="shared" ref="AM12:AM28" si="18">AG12-AS12</f>
        <v>31739930</v>
      </c>
      <c r="AN12" s="22">
        <f t="shared" ref="AN12:AN28" si="19">AH12-AT12</f>
        <v>264148043.79999995</v>
      </c>
      <c r="AO12" s="23">
        <f t="shared" ref="AO12:AO28" si="20">AI12-AU12</f>
        <v>505645699.11000001</v>
      </c>
      <c r="AP12" s="23">
        <f t="shared" ref="AP12:AP28" si="21">AJ12-AV12</f>
        <v>26456951.939999998</v>
      </c>
      <c r="AQ12" s="22"/>
      <c r="AR12" s="24">
        <f t="shared" ref="AR12:AR28" si="22">SUM(AS12:AW12)</f>
        <v>381908989.53999996</v>
      </c>
      <c r="AS12" s="24">
        <f>'Проверочная  таблица'!Q13+'Проверочная  таблица'!AB13+'Проверочная  таблица'!I13</f>
        <v>165990070</v>
      </c>
      <c r="AT12" s="23">
        <f>'Проверочная  таблица'!QV13+'Проверочная  таблица'!DD13+'Проверочная  таблица'!CV13+'Проверочная  таблица'!CJ13+'Проверочная  таблица'!JP13+'Проверочная  таблица'!HZ13+'Проверочная  таблица'!LM13+'Проверочная  таблица'!BA13+'Проверочная  таблица'!GV13+'Проверочная  таблица'!FZ13+'Проверочная  таблица'!ML13+'Проверочная  таблица'!OL13+'Проверочная  таблица'!QD13</f>
        <v>138509202.5</v>
      </c>
      <c r="AU12" s="22">
        <f>'Проверочная  таблица'!RN13</f>
        <v>1401689.7100000002</v>
      </c>
      <c r="AV12" s="23">
        <f>'Проверочная  таблица'!VF13+'Проверочная  таблица'!TE13+'Проверочная  таблица'!TT13</f>
        <v>76008027.329999998</v>
      </c>
      <c r="AW12" s="26"/>
      <c r="AX12" s="308">
        <f t="shared" ref="AX12:AX28" si="23">SUM(AY12:BC12)</f>
        <v>70814845.449999988</v>
      </c>
      <c r="AY12" s="308">
        <f t="shared" ref="AY12:AY28" si="24">AS12-BE12</f>
        <v>62024068</v>
      </c>
      <c r="AZ12" s="309">
        <f t="shared" si="2"/>
        <v>3033881.5799999833</v>
      </c>
      <c r="BA12" s="310">
        <f t="shared" si="3"/>
        <v>1401689.7100000002</v>
      </c>
      <c r="BB12" s="309">
        <f t="shared" si="4"/>
        <v>4355206.1599999964</v>
      </c>
      <c r="BC12" s="311"/>
      <c r="BD12" s="310">
        <f t="shared" ref="BD12:BD28" si="25">SUM(BE12:BI12)</f>
        <v>311094144.09000003</v>
      </c>
      <c r="BE12" s="309">
        <f>'Проверочная  таблица'!M13+'Проверочная  таблица'!U13+'Проверочная  таблица'!AH13</f>
        <v>103966002</v>
      </c>
      <c r="BF12" s="310">
        <f>'Проверочная  таблица'!CZ13+'Проверочная  таблица'!DH13+'Проверочная  таблица'!CR13+'Проверочная  таблица'!QZ13+'Проверочная  таблица'!KJ13+'Проверочная  таблица'!IN13+'Проверочная  таблица'!MC13+'Проверочная  таблица'!BQ13+'Проверочная  таблица'!HH13+'Проверочная  таблица'!GF13+'Проверочная  таблица'!NF13+'Проверочная  таблица'!PN13+'Проверочная  таблица'!QP13</f>
        <v>135475320.92000002</v>
      </c>
      <c r="BG12" s="308"/>
      <c r="BH12" s="312">
        <f>'Проверочная  таблица'!VR13+'Проверочная  таблица'!TJ13+'Проверочная  таблица'!TZ13</f>
        <v>71652821.170000002</v>
      </c>
      <c r="BI12" s="311"/>
    </row>
    <row r="13" spans="1:62" ht="21.75" customHeight="1" x14ac:dyDescent="0.25">
      <c r="A13" s="27" t="s">
        <v>81</v>
      </c>
      <c r="B13" s="20">
        <f>'Проверочная  таблица'!B14</f>
        <v>984383803.23999989</v>
      </c>
      <c r="C13" s="21">
        <f>'Проверочная  таблица'!D14</f>
        <v>207600415</v>
      </c>
      <c r="D13" s="213">
        <f>'Проверочная  таблица'!AI14</f>
        <v>341974124.08999997</v>
      </c>
      <c r="E13" s="20">
        <f>'Проверочная  таблица'!RA14</f>
        <v>387786084.01000005</v>
      </c>
      <c r="F13" s="26">
        <f>'Проверочная  таблица'!SK14</f>
        <v>47023180.140000001</v>
      </c>
      <c r="G13" s="26"/>
      <c r="H13" s="22">
        <f t="shared" si="5"/>
        <v>812396954.9799999</v>
      </c>
      <c r="I13" s="23">
        <f t="shared" si="6"/>
        <v>129310020</v>
      </c>
      <c r="J13" s="22">
        <f t="shared" si="7"/>
        <v>252891476.87999997</v>
      </c>
      <c r="K13" s="23">
        <f t="shared" si="8"/>
        <v>386404084.01000005</v>
      </c>
      <c r="L13" s="23">
        <f t="shared" si="9"/>
        <v>43791374.090000004</v>
      </c>
      <c r="M13" s="22"/>
      <c r="N13" s="24">
        <f t="shared" si="10"/>
        <v>171986848.26000002</v>
      </c>
      <c r="O13" s="23">
        <f>'Проверочная  таблица'!P14+'Проверочная  таблица'!AA14+'Проверочная  таблица'!H14</f>
        <v>78290395</v>
      </c>
      <c r="P13" s="22">
        <f>'Проверочная  таблица'!CE14+'Проверочная  таблица'!CU14+'Проверочная  таблица'!DC14+'Проверочная  таблица'!JK14+'Проверочная  таблица'!LI14+'Проверочная  таблица'!HW14+'Проверочная  таблица'!QU14+'Проверочная  таблица'!AW14+'Проверочная  таблица'!GS14+'Проверочная  таблица'!FW14+'Проверочная  таблица'!MG14+'Проверочная  таблица'!OE14+'Проверочная  таблица'!QA14</f>
        <v>89082647.210000008</v>
      </c>
      <c r="Q13" s="24">
        <f>'Проверочная  таблица'!RM14</f>
        <v>1382000</v>
      </c>
      <c r="R13" s="20">
        <f>'Проверочная  таблица'!VC14+'Проверочная  таблица'!TC14+'Проверочная  таблица'!TQ14</f>
        <v>3231806.05</v>
      </c>
      <c r="S13" s="25"/>
      <c r="T13" s="308">
        <f t="shared" si="11"/>
        <v>72942674.659999996</v>
      </c>
      <c r="U13" s="308">
        <f t="shared" si="12"/>
        <v>51087755</v>
      </c>
      <c r="V13" s="309">
        <f t="shared" si="13"/>
        <v>17241113.609999999</v>
      </c>
      <c r="W13" s="310">
        <f t="shared" si="14"/>
        <v>1382000</v>
      </c>
      <c r="X13" s="309">
        <f t="shared" si="15"/>
        <v>3231806.05</v>
      </c>
      <c r="Y13" s="311"/>
      <c r="Z13" s="310">
        <f t="shared" si="16"/>
        <v>99044173.600000009</v>
      </c>
      <c r="AA13" s="308">
        <f>'Проверочная  таблица'!AG14+'Проверочная  таблица'!T14+'Проверочная  таблица'!L14</f>
        <v>27202640</v>
      </c>
      <c r="AB13" s="309">
        <f>'Проверочная  таблица'!CY14+'Проверочная  таблица'!DG14+'Проверочная  таблица'!CQ14+'Проверочная  таблица'!QY14+'Проверочная  таблица'!KE14+'Проверочная  таблица'!IK14+'Проверочная  таблица'!LY14+'Проверочная  таблица'!BM14+'Проверочная  таблица'!HE14+'Проверочная  таблица'!GE14+'Проверочная  таблица'!NA14+'Проверочная  таблица'!PG14+'Проверочная  таблица'!QM14</f>
        <v>71841533.600000009</v>
      </c>
      <c r="AC13" s="310"/>
      <c r="AD13" s="312">
        <f>'Проверочная  таблица'!VO14+'Проверочная  таблица'!TI14+'Проверочная  таблица'!TY14</f>
        <v>0</v>
      </c>
      <c r="AE13" s="311"/>
      <c r="AF13" s="26">
        <f>'Проверочная  таблица'!C14</f>
        <v>691196279.6099999</v>
      </c>
      <c r="AG13" s="21">
        <f>'Проверочная  таблица'!E14</f>
        <v>146807735.56</v>
      </c>
      <c r="AH13" s="213">
        <f>'Проверочная  таблица'!AJ14</f>
        <v>221586112.62</v>
      </c>
      <c r="AI13" s="20">
        <f>'Проверочная  таблица'!RD14</f>
        <v>281842738.61999995</v>
      </c>
      <c r="AJ13" s="25">
        <f>'Проверочная  таблица'!SL14</f>
        <v>40959692.810000002</v>
      </c>
      <c r="AK13" s="26"/>
      <c r="AL13" s="22">
        <f t="shared" si="17"/>
        <v>568159216.41999984</v>
      </c>
      <c r="AM13" s="23">
        <f t="shared" si="18"/>
        <v>87575775.560000002</v>
      </c>
      <c r="AN13" s="22">
        <f t="shared" si="19"/>
        <v>161525296.53</v>
      </c>
      <c r="AO13" s="23">
        <f t="shared" si="20"/>
        <v>281101938.01999992</v>
      </c>
      <c r="AP13" s="23">
        <f t="shared" si="21"/>
        <v>37956206.310000002</v>
      </c>
      <c r="AQ13" s="22"/>
      <c r="AR13" s="24">
        <f t="shared" si="22"/>
        <v>123037063.19</v>
      </c>
      <c r="AS13" s="24">
        <f>'Проверочная  таблица'!Q14+'Проверочная  таблица'!AB14+'Проверочная  таблица'!I14</f>
        <v>59231960</v>
      </c>
      <c r="AT13" s="23">
        <f>'Проверочная  таблица'!QV14+'Проверочная  таблица'!DD14+'Проверочная  таблица'!CV14+'Проверочная  таблица'!CJ14+'Проверочная  таблица'!JP14+'Проверочная  таблица'!HZ14+'Проверочная  таблица'!LM14+'Проверочная  таблица'!BA14+'Проверочная  таблица'!GV14+'Проверочная  таблица'!FZ14+'Проверочная  таблица'!ML14+'Проверочная  таблица'!OL14+'Проверочная  таблица'!QD14</f>
        <v>60060816.089999996</v>
      </c>
      <c r="AU13" s="22">
        <f>'Проверочная  таблица'!RN14</f>
        <v>740800.6</v>
      </c>
      <c r="AV13" s="23">
        <f>'Проверочная  таблица'!VF14+'Проверочная  таблица'!TE14+'Проверочная  таблица'!TT14</f>
        <v>3003486.5</v>
      </c>
      <c r="AW13" s="26"/>
      <c r="AX13" s="308">
        <f t="shared" si="23"/>
        <v>52927301.959999993</v>
      </c>
      <c r="AY13" s="308">
        <f t="shared" si="24"/>
        <v>40921400</v>
      </c>
      <c r="AZ13" s="309">
        <f t="shared" si="2"/>
        <v>8261614.859999992</v>
      </c>
      <c r="BA13" s="310">
        <f t="shared" si="3"/>
        <v>740800.6</v>
      </c>
      <c r="BB13" s="309">
        <f t="shared" si="4"/>
        <v>3003486.5</v>
      </c>
      <c r="BC13" s="311"/>
      <c r="BD13" s="310">
        <f t="shared" si="25"/>
        <v>70109761.230000004</v>
      </c>
      <c r="BE13" s="309">
        <f>'Проверочная  таблица'!M14+'Проверочная  таблица'!U14+'Проверочная  таблица'!AH14</f>
        <v>18310560</v>
      </c>
      <c r="BF13" s="310">
        <f>'Проверочная  таблица'!CZ14+'Проверочная  таблица'!DH14+'Проверочная  таблица'!CR14+'Проверочная  таблица'!QZ14+'Проверочная  таблица'!KJ14+'Проверочная  таблица'!IN14+'Проверочная  таблица'!MC14+'Проверочная  таблица'!BQ14+'Проверочная  таблица'!HH14+'Проверочная  таблица'!GF14+'Проверочная  таблица'!NF14+'Проверочная  таблица'!PN14+'Проверочная  таблица'!QP14</f>
        <v>51799201.230000004</v>
      </c>
      <c r="BG13" s="308"/>
      <c r="BH13" s="312">
        <f>'Проверочная  таблица'!VR14+'Проверочная  таблица'!TJ14+'Проверочная  таблица'!TZ14</f>
        <v>0</v>
      </c>
      <c r="BI13" s="311"/>
    </row>
    <row r="14" spans="1:62" ht="21.75" customHeight="1" x14ac:dyDescent="0.25">
      <c r="A14" s="19" t="s">
        <v>82</v>
      </c>
      <c r="B14" s="20">
        <f>'Проверочная  таблица'!B15</f>
        <v>632049487.77999997</v>
      </c>
      <c r="C14" s="21">
        <f>'Проверочная  таблица'!D15</f>
        <v>87536100</v>
      </c>
      <c r="D14" s="213">
        <f>'Проверочная  таблица'!AI15</f>
        <v>146621502.94</v>
      </c>
      <c r="E14" s="20">
        <f>'Проверочная  таблица'!RA15</f>
        <v>370108689.30000001</v>
      </c>
      <c r="F14" s="26">
        <f>'Проверочная  таблица'!SK15</f>
        <v>27783195.539999999</v>
      </c>
      <c r="G14" s="26"/>
      <c r="H14" s="22">
        <f t="shared" si="5"/>
        <v>533534402.63</v>
      </c>
      <c r="I14" s="23">
        <f t="shared" si="6"/>
        <v>6844711</v>
      </c>
      <c r="J14" s="22">
        <f t="shared" si="7"/>
        <v>135415410.38999999</v>
      </c>
      <c r="K14" s="23">
        <f t="shared" si="8"/>
        <v>367993789.30000001</v>
      </c>
      <c r="L14" s="23">
        <f t="shared" si="9"/>
        <v>23280491.939999998</v>
      </c>
      <c r="M14" s="22"/>
      <c r="N14" s="24">
        <f t="shared" si="10"/>
        <v>98515085.149999991</v>
      </c>
      <c r="O14" s="23">
        <f>'Проверочная  таблица'!P15+'Проверочная  таблица'!AA15+'Проверочная  таблица'!H15</f>
        <v>80691389</v>
      </c>
      <c r="P14" s="22">
        <f>'Проверочная  таблица'!CE15+'Проверочная  таблица'!CU15+'Проверочная  таблица'!DC15+'Проверочная  таблица'!JK15+'Проверочная  таблица'!LI15+'Проверочная  таблица'!HW15+'Проверочная  таблица'!QU15+'Проверочная  таблица'!AW15+'Проверочная  таблица'!GS15+'Проверочная  таблица'!FW15+'Проверочная  таблица'!MG15+'Проверочная  таблица'!OE15+'Проверочная  таблица'!QA15</f>
        <v>11206092.550000001</v>
      </c>
      <c r="Q14" s="24">
        <f>'Проверочная  таблица'!RM15</f>
        <v>2114900</v>
      </c>
      <c r="R14" s="20">
        <f>'Проверочная  таблица'!VC15+'Проверочная  таблица'!TC15+'Проверочная  таблица'!TQ15</f>
        <v>4502703.5999999996</v>
      </c>
      <c r="S14" s="25"/>
      <c r="T14" s="308">
        <f t="shared" si="11"/>
        <v>98515085.149999991</v>
      </c>
      <c r="U14" s="308">
        <f t="shared" si="12"/>
        <v>80691389</v>
      </c>
      <c r="V14" s="309">
        <f t="shared" si="13"/>
        <v>11206092.550000001</v>
      </c>
      <c r="W14" s="310">
        <f t="shared" si="14"/>
        <v>2114900</v>
      </c>
      <c r="X14" s="309">
        <f t="shared" si="15"/>
        <v>4502703.5999999996</v>
      </c>
      <c r="Y14" s="311"/>
      <c r="Z14" s="310">
        <f t="shared" si="16"/>
        <v>0</v>
      </c>
      <c r="AA14" s="308">
        <f>'Проверочная  таблица'!AG15+'Проверочная  таблица'!T15+'Проверочная  таблица'!L15</f>
        <v>0</v>
      </c>
      <c r="AB14" s="309">
        <f>'Проверочная  таблица'!CY15+'Проверочная  таблица'!DG15+'Проверочная  таблица'!CQ15+'Проверочная  таблица'!QY15+'Проверочная  таблица'!KE15+'Проверочная  таблица'!IK15+'Проверочная  таблица'!LY15+'Проверочная  таблица'!BM15+'Проверочная  таблица'!HE15+'Проверочная  таблица'!GE15+'Проверочная  таблица'!NA15+'Проверочная  таблица'!PG15+'Проверочная  таблица'!QM15</f>
        <v>0</v>
      </c>
      <c r="AC14" s="310"/>
      <c r="AD14" s="312">
        <f>'Проверочная  таблица'!VO15+'Проверочная  таблица'!TI15+'Проверочная  таблица'!TY15</f>
        <v>0</v>
      </c>
      <c r="AE14" s="311"/>
      <c r="AF14" s="26">
        <f>'Проверочная  таблица'!C15</f>
        <v>445753150.60000002</v>
      </c>
      <c r="AG14" s="21">
        <f>'Проверочная  таблица'!E15</f>
        <v>68888927.359999999</v>
      </c>
      <c r="AH14" s="213">
        <f>'Проверочная  таблица'!AJ15</f>
        <v>72597167.709999993</v>
      </c>
      <c r="AI14" s="20">
        <f>'Проверочная  таблица'!RD15</f>
        <v>284290727.29000002</v>
      </c>
      <c r="AJ14" s="25">
        <f>'Проверочная  таблица'!SL15</f>
        <v>19976328.239999998</v>
      </c>
      <c r="AK14" s="26"/>
      <c r="AL14" s="22">
        <f t="shared" si="17"/>
        <v>373273749.64000005</v>
      </c>
      <c r="AM14" s="23">
        <f t="shared" si="18"/>
        <v>4529221.4099999964</v>
      </c>
      <c r="AN14" s="22">
        <f t="shared" si="19"/>
        <v>70545351.299999997</v>
      </c>
      <c r="AO14" s="23">
        <f t="shared" si="20"/>
        <v>282725552.29000002</v>
      </c>
      <c r="AP14" s="23">
        <f t="shared" si="21"/>
        <v>15473624.639999999</v>
      </c>
      <c r="AQ14" s="22"/>
      <c r="AR14" s="24">
        <f t="shared" si="22"/>
        <v>72479400.959999993</v>
      </c>
      <c r="AS14" s="24">
        <f>'Проверочная  таблица'!Q15+'Проверочная  таблица'!AB15+'Проверочная  таблица'!I15</f>
        <v>64359705.950000003</v>
      </c>
      <c r="AT14" s="23">
        <f>'Проверочная  таблица'!QV15+'Проверочная  таблица'!DD15+'Проверочная  таблица'!CV15+'Проверочная  таблица'!CJ15+'Проверочная  таблица'!JP15+'Проверочная  таблица'!HZ15+'Проверочная  таблица'!LM15+'Проверочная  таблица'!BA15+'Проверочная  таблица'!GV15+'Проверочная  таблица'!FZ15+'Проверочная  таблица'!ML15+'Проверочная  таблица'!OL15+'Проверочная  таблица'!QD15</f>
        <v>2051816.41</v>
      </c>
      <c r="AU14" s="22">
        <f>'Проверочная  таблица'!RN15</f>
        <v>1565175</v>
      </c>
      <c r="AV14" s="23">
        <f>'Проверочная  таблица'!VF15+'Проверочная  таблица'!TE15+'Проверочная  таблица'!TT15</f>
        <v>4502703.5999999996</v>
      </c>
      <c r="AW14" s="26"/>
      <c r="AX14" s="308">
        <f t="shared" si="23"/>
        <v>72479400.959999993</v>
      </c>
      <c r="AY14" s="308">
        <f t="shared" si="24"/>
        <v>64359705.950000003</v>
      </c>
      <c r="AZ14" s="309">
        <f t="shared" si="2"/>
        <v>2051816.41</v>
      </c>
      <c r="BA14" s="310">
        <f t="shared" si="3"/>
        <v>1565175</v>
      </c>
      <c r="BB14" s="309">
        <f t="shared" si="4"/>
        <v>4502703.5999999996</v>
      </c>
      <c r="BC14" s="311"/>
      <c r="BD14" s="310">
        <f t="shared" si="25"/>
        <v>0</v>
      </c>
      <c r="BE14" s="309">
        <f>'Проверочная  таблица'!M15+'Проверочная  таблица'!U15+'Проверочная  таблица'!AH15</f>
        <v>0</v>
      </c>
      <c r="BF14" s="310">
        <f>'Проверочная  таблица'!CZ15+'Проверочная  таблица'!DH15+'Проверочная  таблица'!CR15+'Проверочная  таблица'!QZ15+'Проверочная  таблица'!KJ15+'Проверочная  таблица'!IN15+'Проверочная  таблица'!MC15+'Проверочная  таблица'!BQ15+'Проверочная  таблица'!HH15+'Проверочная  таблица'!GF15+'Проверочная  таблица'!NF15+'Проверочная  таблица'!PN15+'Проверочная  таблица'!QP15</f>
        <v>0</v>
      </c>
      <c r="BG14" s="308"/>
      <c r="BH14" s="312">
        <f>'Проверочная  таблица'!VR15+'Проверочная  таблица'!TJ15+'Проверочная  таблица'!TZ15</f>
        <v>0</v>
      </c>
      <c r="BI14" s="311"/>
    </row>
    <row r="15" spans="1:62" ht="21.75" customHeight="1" x14ac:dyDescent="0.25">
      <c r="A15" s="27" t="s">
        <v>83</v>
      </c>
      <c r="B15" s="20">
        <f>'Проверочная  таблица'!B16</f>
        <v>1040458118.12</v>
      </c>
      <c r="C15" s="21">
        <f>'Проверочная  таблица'!D16</f>
        <v>324720774</v>
      </c>
      <c r="D15" s="213">
        <f>'Проверочная  таблица'!AI16</f>
        <v>309814234.17999995</v>
      </c>
      <c r="E15" s="20">
        <f>'Проверочная  таблица'!RA16</f>
        <v>351592314.22000003</v>
      </c>
      <c r="F15" s="26">
        <f>'Проверочная  таблица'!SK16</f>
        <v>54330795.719999999</v>
      </c>
      <c r="G15" s="26"/>
      <c r="H15" s="22">
        <f t="shared" si="5"/>
        <v>813675171.46000004</v>
      </c>
      <c r="I15" s="23">
        <f t="shared" si="6"/>
        <v>217596711</v>
      </c>
      <c r="J15" s="22">
        <f t="shared" si="7"/>
        <v>224190019.04999995</v>
      </c>
      <c r="K15" s="23">
        <f t="shared" si="8"/>
        <v>349767514.22000003</v>
      </c>
      <c r="L15" s="23">
        <f t="shared" si="9"/>
        <v>22120927.189999998</v>
      </c>
      <c r="M15" s="22"/>
      <c r="N15" s="24">
        <f t="shared" si="10"/>
        <v>226782946.66</v>
      </c>
      <c r="O15" s="23">
        <f>'Проверочная  таблица'!P16+'Проверочная  таблица'!AA16+'Проверочная  таблица'!H16</f>
        <v>107124063.00000001</v>
      </c>
      <c r="P15" s="22">
        <f>'Проверочная  таблица'!CE16+'Проверочная  таблица'!CU16+'Проверочная  таблица'!DC16+'Проверочная  таблица'!JK16+'Проверочная  таблица'!LI16+'Проверочная  таблица'!HW16+'Проверочная  таблица'!QU16+'Проверочная  таблица'!AW16+'Проверочная  таблица'!GS16+'Проверочная  таблица'!FW16+'Проверочная  таблица'!MG16+'Проверочная  таблица'!OE16+'Проверочная  таблица'!QA16</f>
        <v>85624215.129999995</v>
      </c>
      <c r="Q15" s="24">
        <f>'Проверочная  таблица'!RM16</f>
        <v>1824800</v>
      </c>
      <c r="R15" s="20">
        <f>'Проверочная  таблица'!VC16+'Проверочная  таблица'!TC16+'Проверочная  таблица'!TQ16</f>
        <v>32209868.530000001</v>
      </c>
      <c r="S15" s="25"/>
      <c r="T15" s="308">
        <f t="shared" si="11"/>
        <v>226782946.66</v>
      </c>
      <c r="U15" s="308">
        <f t="shared" si="12"/>
        <v>107124063.00000001</v>
      </c>
      <c r="V15" s="309">
        <f t="shared" si="13"/>
        <v>85624215.129999995</v>
      </c>
      <c r="W15" s="310">
        <f t="shared" si="14"/>
        <v>1824800</v>
      </c>
      <c r="X15" s="309">
        <f t="shared" si="15"/>
        <v>32209868.530000001</v>
      </c>
      <c r="Y15" s="311"/>
      <c r="Z15" s="310">
        <f t="shared" si="16"/>
        <v>0</v>
      </c>
      <c r="AA15" s="308">
        <f>'Проверочная  таблица'!AG16+'Проверочная  таблица'!T16+'Проверочная  таблица'!L16</f>
        <v>0</v>
      </c>
      <c r="AB15" s="309">
        <f>'Проверочная  таблица'!CY16+'Проверочная  таблица'!DG16+'Проверочная  таблица'!CQ16+'Проверочная  таблица'!QY16+'Проверочная  таблица'!KE16+'Проверочная  таблица'!IK16+'Проверочная  таблица'!LY16+'Проверочная  таблица'!BM16+'Проверочная  таблица'!HE16+'Проверочная  таблица'!GE16+'Проверочная  таблица'!NA16+'Проверочная  таблица'!PG16+'Проверочная  таблица'!QM16</f>
        <v>0</v>
      </c>
      <c r="AC15" s="310"/>
      <c r="AD15" s="312">
        <f>'Проверочная  таблица'!VO16+'Проверочная  таблица'!TI16+'Проверочная  таблица'!TY16</f>
        <v>0</v>
      </c>
      <c r="AE15" s="311"/>
      <c r="AF15" s="26">
        <f>'Проверочная  таблица'!C16</f>
        <v>760382494.0999999</v>
      </c>
      <c r="AG15" s="21">
        <f>'Проверочная  таблица'!E16</f>
        <v>293416221</v>
      </c>
      <c r="AH15" s="213">
        <f>'Проверочная  таблица'!AJ16</f>
        <v>177565675.90000001</v>
      </c>
      <c r="AI15" s="20">
        <f>'Проверочная  таблица'!RD16</f>
        <v>255648386.41</v>
      </c>
      <c r="AJ15" s="25">
        <f>'Проверочная  таблица'!SL16</f>
        <v>33752210.790000007</v>
      </c>
      <c r="AK15" s="26"/>
      <c r="AL15" s="22">
        <f t="shared" si="17"/>
        <v>626639075.14999986</v>
      </c>
      <c r="AM15" s="23">
        <f t="shared" si="18"/>
        <v>202747043</v>
      </c>
      <c r="AN15" s="22">
        <f t="shared" si="19"/>
        <v>158744231.05000001</v>
      </c>
      <c r="AO15" s="23">
        <f t="shared" si="20"/>
        <v>254468713.91</v>
      </c>
      <c r="AP15" s="23">
        <f t="shared" si="21"/>
        <v>10679087.190000005</v>
      </c>
      <c r="AQ15" s="22"/>
      <c r="AR15" s="24">
        <f t="shared" si="22"/>
        <v>133743418.94999999</v>
      </c>
      <c r="AS15" s="24">
        <f>'Проверочная  таблица'!Q16+'Проверочная  таблица'!AB16+'Проверочная  таблица'!I16</f>
        <v>90669178</v>
      </c>
      <c r="AT15" s="23">
        <f>'Проверочная  таблица'!QV16+'Проверочная  таблица'!DD16+'Проверочная  таблица'!CV16+'Проверочная  таблица'!CJ16+'Проверочная  таблица'!JP16+'Проверочная  таблица'!HZ16+'Проверочная  таблица'!LM16+'Проверочная  таблица'!BA16+'Проверочная  таблица'!GV16+'Проверочная  таблица'!FZ16+'Проверочная  таблица'!ML16+'Проверочная  таблица'!OL16+'Проверочная  таблица'!QD16</f>
        <v>18821444.850000001</v>
      </c>
      <c r="AU15" s="22">
        <f>'Проверочная  таблица'!RN16</f>
        <v>1179672.5</v>
      </c>
      <c r="AV15" s="23">
        <f>'Проверочная  таблица'!VF16+'Проверочная  таблица'!TE16+'Проверочная  таблица'!TT16</f>
        <v>23073123.600000001</v>
      </c>
      <c r="AW15" s="26"/>
      <c r="AX15" s="308">
        <f t="shared" si="23"/>
        <v>133743418.94999999</v>
      </c>
      <c r="AY15" s="308">
        <f t="shared" si="24"/>
        <v>90669178</v>
      </c>
      <c r="AZ15" s="309">
        <f t="shared" si="2"/>
        <v>18821444.850000001</v>
      </c>
      <c r="BA15" s="310">
        <f t="shared" si="3"/>
        <v>1179672.5</v>
      </c>
      <c r="BB15" s="309">
        <f t="shared" si="4"/>
        <v>23073123.600000001</v>
      </c>
      <c r="BC15" s="311"/>
      <c r="BD15" s="310">
        <f t="shared" si="25"/>
        <v>0</v>
      </c>
      <c r="BE15" s="309">
        <f>'Проверочная  таблица'!M16+'Проверочная  таблица'!U16+'Проверочная  таблица'!AH16</f>
        <v>0</v>
      </c>
      <c r="BF15" s="310">
        <f>'Проверочная  таблица'!CZ16+'Проверочная  таблица'!DH16+'Проверочная  таблица'!CR16+'Проверочная  таблица'!QZ16+'Проверочная  таблица'!KJ16+'Проверочная  таблица'!IN16+'Проверочная  таблица'!MC16+'Проверочная  таблица'!BQ16+'Проверочная  таблица'!HH16+'Проверочная  таблица'!GF16+'Проверочная  таблица'!NF16+'Проверочная  таблица'!PN16+'Проверочная  таблица'!QP16</f>
        <v>0</v>
      </c>
      <c r="BG15" s="308"/>
      <c r="BH15" s="312">
        <f>'Проверочная  таблица'!VR16+'Проверочная  таблица'!TJ16+'Проверочная  таблица'!TZ16</f>
        <v>0</v>
      </c>
      <c r="BI15" s="311"/>
    </row>
    <row r="16" spans="1:62" ht="21.75" customHeight="1" x14ac:dyDescent="0.25">
      <c r="A16" s="19" t="s">
        <v>84</v>
      </c>
      <c r="B16" s="20">
        <f>'Проверочная  таблица'!B17</f>
        <v>455509271.54000002</v>
      </c>
      <c r="C16" s="21">
        <f>'Проверочная  таблица'!D17</f>
        <v>103738844</v>
      </c>
      <c r="D16" s="213">
        <f>'Проверочная  таблица'!AI17</f>
        <v>86719779.769999996</v>
      </c>
      <c r="E16" s="20">
        <f>'Проверочная  таблица'!RA17</f>
        <v>235197991.47000003</v>
      </c>
      <c r="F16" s="26">
        <f>'Проверочная  таблица'!SK17</f>
        <v>29852656.299999997</v>
      </c>
      <c r="G16" s="26"/>
      <c r="H16" s="22">
        <f t="shared" si="5"/>
        <v>388756977.17000002</v>
      </c>
      <c r="I16" s="23">
        <f t="shared" si="6"/>
        <v>51741680</v>
      </c>
      <c r="J16" s="22">
        <f t="shared" si="7"/>
        <v>77954572.25</v>
      </c>
      <c r="K16" s="23">
        <f t="shared" si="8"/>
        <v>234051391.47000003</v>
      </c>
      <c r="L16" s="23">
        <f t="shared" si="9"/>
        <v>25009333.449999996</v>
      </c>
      <c r="M16" s="22"/>
      <c r="N16" s="24">
        <f t="shared" si="10"/>
        <v>66752294.369999997</v>
      </c>
      <c r="O16" s="23">
        <f>'Проверочная  таблица'!P17+'Проверочная  таблица'!AA17+'Проверочная  таблица'!H17</f>
        <v>51997164</v>
      </c>
      <c r="P16" s="22">
        <f>'Проверочная  таблица'!CE17+'Проверочная  таблица'!CU17+'Проверочная  таблица'!DC17+'Проверочная  таблица'!JK17+'Проверочная  таблица'!LI17+'Проверочная  таблица'!HW17+'Проверочная  таблица'!QU17+'Проверочная  таблица'!AW17+'Проверочная  таблица'!GS17+'Проверочная  таблица'!FW17+'Проверочная  таблица'!MG17+'Проверочная  таблица'!OE17+'Проверочная  таблица'!QA17</f>
        <v>8765207.5199999996</v>
      </c>
      <c r="Q16" s="24">
        <f>'Проверочная  таблица'!RM17</f>
        <v>1146600</v>
      </c>
      <c r="R16" s="20">
        <f>'Проверочная  таблица'!VC17+'Проверочная  таблица'!TC17+'Проверочная  таблица'!TQ17</f>
        <v>4843322.8499999996</v>
      </c>
      <c r="S16" s="25"/>
      <c r="T16" s="308">
        <f t="shared" si="11"/>
        <v>66752294.369999997</v>
      </c>
      <c r="U16" s="308">
        <f t="shared" si="12"/>
        <v>51997164</v>
      </c>
      <c r="V16" s="309">
        <f t="shared" si="13"/>
        <v>8765207.5199999996</v>
      </c>
      <c r="W16" s="310">
        <f t="shared" si="14"/>
        <v>1146600</v>
      </c>
      <c r="X16" s="309">
        <f t="shared" si="15"/>
        <v>4843322.8499999996</v>
      </c>
      <c r="Y16" s="311"/>
      <c r="Z16" s="310">
        <f t="shared" si="16"/>
        <v>0</v>
      </c>
      <c r="AA16" s="308">
        <f>'Проверочная  таблица'!AG17+'Проверочная  таблица'!T17+'Проверочная  таблица'!L17</f>
        <v>0</v>
      </c>
      <c r="AB16" s="309">
        <f>'Проверочная  таблица'!CY17+'Проверочная  таблица'!DG17+'Проверочная  таблица'!CQ17+'Проверочная  таблица'!QY17+'Проверочная  таблица'!KE17+'Проверочная  таблица'!IK17+'Проверочная  таблица'!LY17+'Проверочная  таблица'!BM17+'Проверочная  таблица'!HE17+'Проверочная  таблица'!GE17+'Проверочная  таблица'!NA17+'Проверочная  таблица'!PG17+'Проверочная  таблица'!QM17</f>
        <v>0</v>
      </c>
      <c r="AC16" s="310"/>
      <c r="AD16" s="312">
        <f>'Проверочная  таблица'!VO17+'Проверочная  таблица'!TI17+'Проверочная  таблица'!TY17</f>
        <v>0</v>
      </c>
      <c r="AE16" s="311"/>
      <c r="AF16" s="26">
        <f>'Проверочная  таблица'!C17</f>
        <v>314048654.11000001</v>
      </c>
      <c r="AG16" s="21">
        <f>'Проверочная  таблица'!E17</f>
        <v>76060956</v>
      </c>
      <c r="AH16" s="213">
        <f>'Проверочная  таблица'!AJ17</f>
        <v>46158100.479999997</v>
      </c>
      <c r="AI16" s="20">
        <f>'Проверочная  таблица'!RD17</f>
        <v>166999970.44999999</v>
      </c>
      <c r="AJ16" s="25">
        <f>'Проверочная  таблица'!SL17</f>
        <v>24829627.18</v>
      </c>
      <c r="AK16" s="26"/>
      <c r="AL16" s="22">
        <f t="shared" si="17"/>
        <v>270977852.42000002</v>
      </c>
      <c r="AM16" s="23">
        <f t="shared" si="18"/>
        <v>39295950</v>
      </c>
      <c r="AN16" s="22">
        <f t="shared" si="19"/>
        <v>43414396.059999995</v>
      </c>
      <c r="AO16" s="23">
        <f t="shared" si="20"/>
        <v>166229800.61999997</v>
      </c>
      <c r="AP16" s="23">
        <f t="shared" si="21"/>
        <v>22037705.739999998</v>
      </c>
      <c r="AQ16" s="22"/>
      <c r="AR16" s="24">
        <f t="shared" si="22"/>
        <v>43070801.689999998</v>
      </c>
      <c r="AS16" s="24">
        <f>'Проверочная  таблица'!Q17+'Проверочная  таблица'!AB17+'Проверочная  таблица'!I17</f>
        <v>36765006</v>
      </c>
      <c r="AT16" s="23">
        <f>'Проверочная  таблица'!QV17+'Проверочная  таблица'!DD17+'Проверочная  таблица'!CV17+'Проверочная  таблица'!CJ17+'Проверочная  таблица'!JP17+'Проверочная  таблица'!HZ17+'Проверочная  таблица'!LM17+'Проверочная  таблица'!BA17+'Проверочная  таблица'!GV17+'Проверочная  таблица'!FZ17+'Проверочная  таблица'!ML17+'Проверочная  таблица'!OL17+'Проверочная  таблица'!QD17</f>
        <v>2743704.42</v>
      </c>
      <c r="AU16" s="22">
        <f>'Проверочная  таблица'!RN17</f>
        <v>770169.83</v>
      </c>
      <c r="AV16" s="23">
        <f>'Проверочная  таблица'!VF17+'Проверочная  таблица'!TE17+'Проверочная  таблица'!TT17</f>
        <v>2791921.44</v>
      </c>
      <c r="AW16" s="26"/>
      <c r="AX16" s="308">
        <f t="shared" si="23"/>
        <v>43070801.689999998</v>
      </c>
      <c r="AY16" s="308">
        <f t="shared" si="24"/>
        <v>36765006</v>
      </c>
      <c r="AZ16" s="309">
        <f t="shared" si="2"/>
        <v>2743704.42</v>
      </c>
      <c r="BA16" s="310">
        <f t="shared" si="3"/>
        <v>770169.83</v>
      </c>
      <c r="BB16" s="309">
        <f t="shared" si="4"/>
        <v>2791921.44</v>
      </c>
      <c r="BC16" s="311"/>
      <c r="BD16" s="310">
        <f t="shared" si="25"/>
        <v>0</v>
      </c>
      <c r="BE16" s="309">
        <f>'Проверочная  таблица'!M17+'Проверочная  таблица'!U17+'Проверочная  таблица'!AH17</f>
        <v>0</v>
      </c>
      <c r="BF16" s="310">
        <f>'Проверочная  таблица'!CZ17+'Проверочная  таблица'!DH17+'Проверочная  таблица'!CR17+'Проверочная  таблица'!QZ17+'Проверочная  таблица'!KJ17+'Проверочная  таблица'!IN17+'Проверочная  таблица'!MC17+'Проверочная  таблица'!BQ17+'Проверочная  таблица'!HH17+'Проверочная  таблица'!GF17+'Проверочная  таблица'!NF17+'Проверочная  таблица'!PN17+'Проверочная  таблица'!QP17</f>
        <v>0</v>
      </c>
      <c r="BG16" s="308"/>
      <c r="BH16" s="312">
        <f>'Проверочная  таблица'!VR17+'Проверочная  таблица'!TJ17+'Проверочная  таблица'!TZ17</f>
        <v>0</v>
      </c>
      <c r="BI16" s="311"/>
    </row>
    <row r="17" spans="1:61" ht="21.75" customHeight="1" x14ac:dyDescent="0.25">
      <c r="A17" s="27" t="s">
        <v>85</v>
      </c>
      <c r="B17" s="20">
        <f>'Проверочная  таблица'!B18</f>
        <v>859771822.19999993</v>
      </c>
      <c r="C17" s="21">
        <f>'Проверочная  таблица'!D18</f>
        <v>89321456</v>
      </c>
      <c r="D17" s="213">
        <f>'Проверочная  таблица'!AI18</f>
        <v>319718670.44999999</v>
      </c>
      <c r="E17" s="20">
        <f>'Проверочная  таблица'!RA18</f>
        <v>360521590.44999999</v>
      </c>
      <c r="F17" s="26">
        <f>'Проверочная  таблица'!SK18</f>
        <v>90210105.299999997</v>
      </c>
      <c r="G17" s="26"/>
      <c r="H17" s="22">
        <f t="shared" si="5"/>
        <v>749527122.21999991</v>
      </c>
      <c r="I17" s="23">
        <f t="shared" si="6"/>
        <v>23130670</v>
      </c>
      <c r="J17" s="22">
        <f t="shared" si="7"/>
        <v>295625633.20999998</v>
      </c>
      <c r="K17" s="23">
        <f t="shared" si="8"/>
        <v>358656490.44999999</v>
      </c>
      <c r="L17" s="23">
        <f t="shared" si="9"/>
        <v>72114328.560000002</v>
      </c>
      <c r="M17" s="22"/>
      <c r="N17" s="24">
        <f t="shared" si="10"/>
        <v>110244699.98</v>
      </c>
      <c r="O17" s="23">
        <f>'Проверочная  таблица'!P18+'Проверочная  таблица'!AA18+'Проверочная  таблица'!H18</f>
        <v>66190786</v>
      </c>
      <c r="P17" s="22">
        <f>'Проверочная  таблица'!CE18+'Проверочная  таблица'!CU18+'Проверочная  таблица'!DC18+'Проверочная  таблица'!JK18+'Проверочная  таблица'!LI18+'Проверочная  таблица'!HW18+'Проверочная  таблица'!QU18+'Проверочная  таблица'!AW18+'Проверочная  таблица'!GS18+'Проверочная  таблица'!FW18+'Проверочная  таблица'!MG18+'Проверочная  таблица'!OE18+'Проверочная  таблица'!QA18</f>
        <v>24093037.240000002</v>
      </c>
      <c r="Q17" s="24">
        <f>'Проверочная  таблица'!RM18</f>
        <v>1865100</v>
      </c>
      <c r="R17" s="20">
        <f>'Проверочная  таблица'!VC18+'Проверочная  таблица'!TC18+'Проверочная  таблица'!TQ18</f>
        <v>18095776.739999998</v>
      </c>
      <c r="S17" s="25"/>
      <c r="T17" s="308">
        <f t="shared" si="11"/>
        <v>110244699.98</v>
      </c>
      <c r="U17" s="308">
        <f t="shared" si="12"/>
        <v>66190786</v>
      </c>
      <c r="V17" s="309">
        <f t="shared" si="13"/>
        <v>24093037.240000002</v>
      </c>
      <c r="W17" s="310">
        <f t="shared" si="14"/>
        <v>1865100</v>
      </c>
      <c r="X17" s="309">
        <f t="shared" si="15"/>
        <v>18095776.739999998</v>
      </c>
      <c r="Y17" s="311"/>
      <c r="Z17" s="310">
        <f t="shared" si="16"/>
        <v>0</v>
      </c>
      <c r="AA17" s="308">
        <f>'Проверочная  таблица'!AG18+'Проверочная  таблица'!T18+'Проверочная  таблица'!L18</f>
        <v>0</v>
      </c>
      <c r="AB17" s="309">
        <f>'Проверочная  таблица'!CY18+'Проверочная  таблица'!DG18+'Проверочная  таблица'!CQ18+'Проверочная  таблица'!QY18+'Проверочная  таблица'!KE18+'Проверочная  таблица'!IK18+'Проверочная  таблица'!LY18+'Проверочная  таблица'!BM18+'Проверочная  таблица'!HE18+'Проверочная  таблица'!GE18+'Проверочная  таблица'!NA18+'Проверочная  таблица'!PG18+'Проверочная  таблица'!QM18</f>
        <v>0</v>
      </c>
      <c r="AC17" s="310"/>
      <c r="AD17" s="312">
        <f>'Проверочная  таблица'!VO18+'Проверочная  таблица'!TI18+'Проверочная  таблица'!TY18</f>
        <v>0</v>
      </c>
      <c r="AE17" s="311"/>
      <c r="AF17" s="26">
        <f>'Проверочная  таблица'!C18</f>
        <v>504424567.6500001</v>
      </c>
      <c r="AG17" s="21">
        <f>'Проверочная  таблица'!E18</f>
        <v>66819272</v>
      </c>
      <c r="AH17" s="213">
        <f>'Проверочная  таблица'!AJ18</f>
        <v>78662074.590000004</v>
      </c>
      <c r="AI17" s="20">
        <f>'Проверочная  таблица'!RD18</f>
        <v>279339651.48000002</v>
      </c>
      <c r="AJ17" s="25">
        <f>'Проверочная  таблица'!SL18</f>
        <v>79603569.580000013</v>
      </c>
      <c r="AK17" s="26"/>
      <c r="AL17" s="22">
        <f t="shared" si="17"/>
        <v>427135462.98000008</v>
      </c>
      <c r="AM17" s="23">
        <f t="shared" si="18"/>
        <v>15408616</v>
      </c>
      <c r="AN17" s="22">
        <f t="shared" si="19"/>
        <v>67819457.540000007</v>
      </c>
      <c r="AO17" s="23">
        <f t="shared" si="20"/>
        <v>277979341.48000002</v>
      </c>
      <c r="AP17" s="23">
        <f t="shared" si="21"/>
        <v>65928047.960000008</v>
      </c>
      <c r="AQ17" s="22"/>
      <c r="AR17" s="24">
        <f t="shared" si="22"/>
        <v>77289104.670000002</v>
      </c>
      <c r="AS17" s="24">
        <f>'Проверочная  таблица'!Q18+'Проверочная  таблица'!AB18+'Проверочная  таблица'!I18</f>
        <v>51410656</v>
      </c>
      <c r="AT17" s="23">
        <f>'Проверочная  таблица'!QV18+'Проверочная  таблица'!DD18+'Проверочная  таблица'!CV18+'Проверочная  таблица'!CJ18+'Проверочная  таблица'!JP18+'Проверочная  таблица'!HZ18+'Проверочная  таблица'!LM18+'Проверочная  таблица'!BA18+'Проверочная  таблица'!GV18+'Проверочная  таблица'!FZ18+'Проверочная  таблица'!ML18+'Проверочная  таблица'!OL18+'Проверочная  таблица'!QD18</f>
        <v>10842617.050000001</v>
      </c>
      <c r="AU17" s="22">
        <f>'Проверочная  таблица'!RN18</f>
        <v>1360310</v>
      </c>
      <c r="AV17" s="23">
        <f>'Проверочная  таблица'!VF18+'Проверочная  таблица'!TE18+'Проверочная  таблица'!TT18</f>
        <v>13675521.620000001</v>
      </c>
      <c r="AW17" s="26"/>
      <c r="AX17" s="308">
        <f t="shared" si="23"/>
        <v>77289104.670000002</v>
      </c>
      <c r="AY17" s="308">
        <f t="shared" si="24"/>
        <v>51410656</v>
      </c>
      <c r="AZ17" s="309">
        <f t="shared" si="2"/>
        <v>10842617.050000001</v>
      </c>
      <c r="BA17" s="310">
        <f t="shared" si="3"/>
        <v>1360310</v>
      </c>
      <c r="BB17" s="309">
        <f t="shared" si="4"/>
        <v>13675521.620000001</v>
      </c>
      <c r="BC17" s="311"/>
      <c r="BD17" s="310">
        <f t="shared" si="25"/>
        <v>0</v>
      </c>
      <c r="BE17" s="309">
        <f>'Проверочная  таблица'!M18+'Проверочная  таблица'!U18+'Проверочная  таблица'!AH18</f>
        <v>0</v>
      </c>
      <c r="BF17" s="310">
        <f>'Проверочная  таблица'!CZ18+'Проверочная  таблица'!DH18+'Проверочная  таблица'!CR18+'Проверочная  таблица'!QZ18+'Проверочная  таблица'!KJ18+'Проверочная  таблица'!IN18+'Проверочная  таблица'!MC18+'Проверочная  таблица'!BQ18+'Проверочная  таблица'!HH18+'Проверочная  таблица'!GF18+'Проверочная  таблица'!NF18+'Проверочная  таблица'!PN18+'Проверочная  таблица'!QP18</f>
        <v>0</v>
      </c>
      <c r="BG17" s="308"/>
      <c r="BH17" s="312">
        <f>'Проверочная  таблица'!VR18+'Проверочная  таблица'!TJ18+'Проверочная  таблица'!TZ18</f>
        <v>0</v>
      </c>
      <c r="BI17" s="311"/>
    </row>
    <row r="18" spans="1:61" ht="21.75" customHeight="1" x14ac:dyDescent="0.25">
      <c r="A18" s="19" t="s">
        <v>86</v>
      </c>
      <c r="B18" s="20">
        <f>'Проверочная  таблица'!B19</f>
        <v>618881338.00999999</v>
      </c>
      <c r="C18" s="21">
        <f>'Проверочная  таблица'!D19</f>
        <v>209685860</v>
      </c>
      <c r="D18" s="213">
        <f>'Проверочная  таблица'!AI19</f>
        <v>80412602.699999973</v>
      </c>
      <c r="E18" s="20">
        <f>'Проверочная  таблица'!RA19</f>
        <v>307080661.96999997</v>
      </c>
      <c r="F18" s="26">
        <f>'Проверочная  таблица'!SK19</f>
        <v>21702213.34</v>
      </c>
      <c r="G18" s="26"/>
      <c r="H18" s="22">
        <f t="shared" si="5"/>
        <v>478947395.81</v>
      </c>
      <c r="I18" s="23">
        <f t="shared" si="6"/>
        <v>112324560</v>
      </c>
      <c r="J18" s="22">
        <f t="shared" si="7"/>
        <v>44605154.919999972</v>
      </c>
      <c r="K18" s="23">
        <f t="shared" si="8"/>
        <v>305150161.96999997</v>
      </c>
      <c r="L18" s="23">
        <f t="shared" si="9"/>
        <v>16867518.920000002</v>
      </c>
      <c r="M18" s="22"/>
      <c r="N18" s="24">
        <f t="shared" si="10"/>
        <v>139933942.19999999</v>
      </c>
      <c r="O18" s="23">
        <f>'Проверочная  таблица'!P19+'Проверочная  таблица'!AA19+'Проверочная  таблица'!H19</f>
        <v>97361300</v>
      </c>
      <c r="P18" s="22">
        <f>'Проверочная  таблица'!CE19+'Проверочная  таблица'!CU19+'Проверочная  таблица'!DC19+'Проверочная  таблица'!JK19+'Проверочная  таблица'!LI19+'Проверочная  таблица'!HW19+'Проверочная  таблица'!QU19+'Проверочная  таблица'!AW19+'Проверочная  таблица'!GS19+'Проверочная  таблица'!FW19+'Проверочная  таблица'!MG19+'Проверочная  таблица'!OE19+'Проверочная  таблица'!QA19</f>
        <v>35807447.780000001</v>
      </c>
      <c r="Q18" s="24">
        <f>'Проверочная  таблица'!RM19</f>
        <v>1930500</v>
      </c>
      <c r="R18" s="20">
        <f>'Проверочная  таблица'!VC19+'Проверочная  таблица'!TC19+'Проверочная  таблица'!TQ19</f>
        <v>4834694.42</v>
      </c>
      <c r="S18" s="25"/>
      <c r="T18" s="308">
        <f t="shared" si="11"/>
        <v>83549168.109999999</v>
      </c>
      <c r="U18" s="308">
        <f t="shared" si="12"/>
        <v>75192722</v>
      </c>
      <c r="V18" s="309">
        <f t="shared" si="13"/>
        <v>2814077.7600000016</v>
      </c>
      <c r="W18" s="310">
        <f t="shared" si="14"/>
        <v>1930500</v>
      </c>
      <c r="X18" s="309">
        <f t="shared" si="15"/>
        <v>3611868.3499999996</v>
      </c>
      <c r="Y18" s="311"/>
      <c r="Z18" s="310">
        <f t="shared" si="16"/>
        <v>56384774.089999996</v>
      </c>
      <c r="AA18" s="308">
        <f>'Проверочная  таблица'!AG19+'Проверочная  таблица'!T19+'Проверочная  таблица'!L19</f>
        <v>22168578</v>
      </c>
      <c r="AB18" s="309">
        <f>'Проверочная  таблица'!CY19+'Проверочная  таблица'!DG19+'Проверочная  таблица'!CQ19+'Проверочная  таблица'!QY19+'Проверочная  таблица'!KE19+'Проверочная  таблица'!IK19+'Проверочная  таблица'!LY19+'Проверочная  таблица'!BM19+'Проверочная  таблица'!HE19+'Проверочная  таблица'!GE19+'Проверочная  таблица'!NA19+'Проверочная  таблица'!PG19+'Проверочная  таблица'!QM19</f>
        <v>32993370.02</v>
      </c>
      <c r="AC18" s="310"/>
      <c r="AD18" s="312">
        <f>'Проверочная  таблица'!VO19+'Проверочная  таблица'!TI19+'Проверочная  таблица'!TY19</f>
        <v>1222826.07</v>
      </c>
      <c r="AE18" s="311"/>
      <c r="AF18" s="26">
        <f>'Проверочная  таблица'!C19</f>
        <v>494996180.98000002</v>
      </c>
      <c r="AG18" s="21">
        <f>'Проверочная  таблица'!E19</f>
        <v>168394185</v>
      </c>
      <c r="AH18" s="213">
        <f>'Проверочная  таблица'!AJ19</f>
        <v>55946491.919999994</v>
      </c>
      <c r="AI18" s="20">
        <f>'Проверочная  таблица'!RD19</f>
        <v>251565118.50999999</v>
      </c>
      <c r="AJ18" s="25">
        <f>'Проверочная  таблица'!SL19</f>
        <v>19090385.549999997</v>
      </c>
      <c r="AK18" s="26"/>
      <c r="AL18" s="22">
        <f t="shared" si="17"/>
        <v>394816286.76999998</v>
      </c>
      <c r="AM18" s="23">
        <f t="shared" si="18"/>
        <v>92548660</v>
      </c>
      <c r="AN18" s="22">
        <f t="shared" si="19"/>
        <v>37717778.639999993</v>
      </c>
      <c r="AO18" s="23">
        <f t="shared" si="20"/>
        <v>250294157</v>
      </c>
      <c r="AP18" s="23">
        <f t="shared" si="21"/>
        <v>14255691.129999997</v>
      </c>
      <c r="AQ18" s="22"/>
      <c r="AR18" s="24">
        <f t="shared" si="22"/>
        <v>100179894.21000001</v>
      </c>
      <c r="AS18" s="24">
        <f>'Проверочная  таблица'!Q19+'Проверочная  таблица'!AB19+'Проверочная  таблица'!I19</f>
        <v>75845525</v>
      </c>
      <c r="AT18" s="23">
        <f>'Проверочная  таблица'!QV19+'Проверочная  таблица'!DD19+'Проверочная  таблица'!CV19+'Проверочная  таблица'!CJ19+'Проверочная  таблица'!JP19+'Проверочная  таблица'!HZ19+'Проверочная  таблица'!LM19+'Проверочная  таблица'!BA19+'Проверочная  таблица'!GV19+'Проверочная  таблица'!FZ19+'Проверочная  таблица'!ML19+'Проверочная  таблица'!OL19+'Проверочная  таблица'!QD19</f>
        <v>18228713.280000001</v>
      </c>
      <c r="AU18" s="22">
        <f>'Проверочная  таблица'!RN19</f>
        <v>1270961.5099999998</v>
      </c>
      <c r="AV18" s="23">
        <f>'Проверочная  таблица'!VF19+'Проверочная  таблица'!TE19+'Проверочная  таблица'!TT19</f>
        <v>4834694.42</v>
      </c>
      <c r="AW18" s="26"/>
      <c r="AX18" s="308">
        <f t="shared" si="23"/>
        <v>64723620.25</v>
      </c>
      <c r="AY18" s="308">
        <f t="shared" si="24"/>
        <v>58236497</v>
      </c>
      <c r="AZ18" s="309">
        <f t="shared" si="2"/>
        <v>1604293.3900000006</v>
      </c>
      <c r="BA18" s="310">
        <f t="shared" si="3"/>
        <v>1270961.5099999998</v>
      </c>
      <c r="BB18" s="309">
        <f t="shared" si="4"/>
        <v>3611868.3499999996</v>
      </c>
      <c r="BC18" s="311"/>
      <c r="BD18" s="310">
        <f t="shared" si="25"/>
        <v>35456273.960000001</v>
      </c>
      <c r="BE18" s="309">
        <f>'Проверочная  таблица'!M19+'Проверочная  таблица'!U19+'Проверочная  таблица'!AH19</f>
        <v>17609028</v>
      </c>
      <c r="BF18" s="310">
        <f>'Проверочная  таблица'!CZ19+'Проверочная  таблица'!DH19+'Проверочная  таблица'!CR19+'Проверочная  таблица'!QZ19+'Проверочная  таблица'!KJ19+'Проверочная  таблица'!IN19+'Проверочная  таблица'!MC19+'Проверочная  таблица'!BQ19+'Проверочная  таблица'!HH19+'Проверочная  таблица'!GF19+'Проверочная  таблица'!NF19+'Проверочная  таблица'!PN19+'Проверочная  таблица'!QP19</f>
        <v>16624419.890000001</v>
      </c>
      <c r="BG18" s="308"/>
      <c r="BH18" s="312">
        <f>'Проверочная  таблица'!VR19+'Проверочная  таблица'!TJ19+'Проверочная  таблица'!TZ19</f>
        <v>1222826.07</v>
      </c>
      <c r="BI18" s="311"/>
    </row>
    <row r="19" spans="1:61" ht="21.75" customHeight="1" x14ac:dyDescent="0.25">
      <c r="A19" s="27" t="s">
        <v>87</v>
      </c>
      <c r="B19" s="20">
        <f>'Проверочная  таблица'!B20</f>
        <v>492860716.28000003</v>
      </c>
      <c r="C19" s="21">
        <f>'Проверочная  таблица'!D20</f>
        <v>155745794</v>
      </c>
      <c r="D19" s="213">
        <f>'Проверочная  таблица'!AI20</f>
        <v>88919461.629999995</v>
      </c>
      <c r="E19" s="20">
        <f>'Проверочная  таблица'!RA20</f>
        <v>221056758.72</v>
      </c>
      <c r="F19" s="26">
        <f>'Проверочная  таблица'!SK20</f>
        <v>27138701.93</v>
      </c>
      <c r="G19" s="26"/>
      <c r="H19" s="22">
        <f t="shared" si="5"/>
        <v>420707168.04000002</v>
      </c>
      <c r="I19" s="23">
        <f t="shared" si="6"/>
        <v>99045997</v>
      </c>
      <c r="J19" s="22">
        <f t="shared" si="7"/>
        <v>79206492.989999995</v>
      </c>
      <c r="K19" s="23">
        <f t="shared" si="8"/>
        <v>219704058.72</v>
      </c>
      <c r="L19" s="23">
        <f t="shared" si="9"/>
        <v>22750619.329999998</v>
      </c>
      <c r="M19" s="22"/>
      <c r="N19" s="24">
        <f t="shared" si="10"/>
        <v>72153548.239999995</v>
      </c>
      <c r="O19" s="23">
        <f>'Проверочная  таблица'!P20+'Проверочная  таблица'!AA20+'Проверочная  таблица'!H20</f>
        <v>56699797</v>
      </c>
      <c r="P19" s="22">
        <f>'Проверочная  таблица'!CE20+'Проверочная  таблица'!CU20+'Проверочная  таблица'!DC20+'Проверочная  таблица'!JK20+'Проверочная  таблица'!LI20+'Проверочная  таблица'!HW20+'Проверочная  таблица'!QU20+'Проверочная  таблица'!AW20+'Проверочная  таблица'!GS20+'Проверочная  таблица'!FW20+'Проверочная  таблица'!MG20+'Проверочная  таблица'!OE20+'Проверочная  таблица'!QA20</f>
        <v>9712968.6400000006</v>
      </c>
      <c r="Q19" s="24">
        <f>'Проверочная  таблица'!RM20</f>
        <v>1352700</v>
      </c>
      <c r="R19" s="20">
        <f>'Проверочная  таблица'!VC20+'Проверочная  таблица'!TC20+'Проверочная  таблица'!TQ20</f>
        <v>4388082.5999999996</v>
      </c>
      <c r="S19" s="25"/>
      <c r="T19" s="308">
        <f t="shared" si="11"/>
        <v>72153548.239999995</v>
      </c>
      <c r="U19" s="308">
        <f t="shared" si="12"/>
        <v>56699797</v>
      </c>
      <c r="V19" s="309">
        <f t="shared" si="13"/>
        <v>9712968.6400000006</v>
      </c>
      <c r="W19" s="310">
        <f t="shared" si="14"/>
        <v>1352700</v>
      </c>
      <c r="X19" s="309">
        <f t="shared" si="15"/>
        <v>4388082.5999999996</v>
      </c>
      <c r="Y19" s="311"/>
      <c r="Z19" s="310">
        <f t="shared" si="16"/>
        <v>0</v>
      </c>
      <c r="AA19" s="308">
        <f>'Проверочная  таблица'!AG20+'Проверочная  таблица'!T20+'Проверочная  таблица'!L20</f>
        <v>0</v>
      </c>
      <c r="AB19" s="309">
        <f>'Проверочная  таблица'!CY20+'Проверочная  таблица'!DG20+'Проверочная  таблица'!CQ20+'Проверочная  таблица'!QY20+'Проверочная  таблица'!KE20+'Проверочная  таблица'!IK20+'Проверочная  таблица'!LY20+'Проверочная  таблица'!BM20+'Проверочная  таблица'!HE20+'Проверочная  таблица'!GE20+'Проверочная  таблица'!NA20+'Проверочная  таблица'!PG20+'Проверочная  таблица'!QM20</f>
        <v>0</v>
      </c>
      <c r="AC19" s="310"/>
      <c r="AD19" s="312">
        <f>'Проверочная  таблица'!VO20+'Проверочная  таблица'!TI20+'Проверочная  таблица'!TY20</f>
        <v>0</v>
      </c>
      <c r="AE19" s="311"/>
      <c r="AF19" s="26">
        <f>'Проверочная  таблица'!C20</f>
        <v>364267851.13999999</v>
      </c>
      <c r="AG19" s="21">
        <f>'Проверочная  таблица'!E20</f>
        <v>115178312.50999999</v>
      </c>
      <c r="AH19" s="213">
        <f>'Проверочная  таблица'!AJ20</f>
        <v>64289334.039999999</v>
      </c>
      <c r="AI19" s="20">
        <f>'Проверочная  таблица'!RD20</f>
        <v>165107317.62</v>
      </c>
      <c r="AJ19" s="25">
        <f>'Проверочная  таблица'!SL20</f>
        <v>19692886.969999999</v>
      </c>
      <c r="AK19" s="26"/>
      <c r="AL19" s="22">
        <f t="shared" si="17"/>
        <v>310893996.59999996</v>
      </c>
      <c r="AM19" s="23">
        <f t="shared" si="18"/>
        <v>73306799.969999999</v>
      </c>
      <c r="AN19" s="22">
        <f t="shared" si="19"/>
        <v>58006568.629999995</v>
      </c>
      <c r="AO19" s="23">
        <f t="shared" si="20"/>
        <v>164273997.47</v>
      </c>
      <c r="AP19" s="23">
        <f t="shared" si="21"/>
        <v>15306630.529999997</v>
      </c>
      <c r="AQ19" s="22"/>
      <c r="AR19" s="24">
        <f t="shared" si="22"/>
        <v>53373854.539999999</v>
      </c>
      <c r="AS19" s="24">
        <f>'Проверочная  таблица'!Q20+'Проверочная  таблица'!AB20+'Проверочная  таблица'!I20</f>
        <v>41871512.539999999</v>
      </c>
      <c r="AT19" s="23">
        <f>'Проверочная  таблица'!QV20+'Проверочная  таблица'!DD20+'Проверочная  таблица'!CV20+'Проверочная  таблица'!CJ20+'Проверочная  таблица'!JP20+'Проверочная  таблица'!HZ20+'Проверочная  таблица'!LM20+'Проверочная  таблица'!BA20+'Проверочная  таблица'!GV20+'Проверочная  таблица'!FZ20+'Проверочная  таблица'!ML20+'Проверочная  таблица'!OL20+'Проверочная  таблица'!QD20</f>
        <v>6282765.4100000001</v>
      </c>
      <c r="AU19" s="22">
        <f>'Проверочная  таблица'!RN20</f>
        <v>833320.15</v>
      </c>
      <c r="AV19" s="23">
        <f>'Проверочная  таблица'!VF20+'Проверочная  таблица'!TE20+'Проверочная  таблица'!TT20</f>
        <v>4386256.4400000004</v>
      </c>
      <c r="AW19" s="26"/>
      <c r="AX19" s="308">
        <f t="shared" si="23"/>
        <v>53373854.539999999</v>
      </c>
      <c r="AY19" s="308">
        <f t="shared" si="24"/>
        <v>41871512.539999999</v>
      </c>
      <c r="AZ19" s="309">
        <f t="shared" si="2"/>
        <v>6282765.4100000001</v>
      </c>
      <c r="BA19" s="310">
        <f t="shared" si="3"/>
        <v>833320.15</v>
      </c>
      <c r="BB19" s="309">
        <f t="shared" si="4"/>
        <v>4386256.4400000004</v>
      </c>
      <c r="BC19" s="311"/>
      <c r="BD19" s="310">
        <f t="shared" si="25"/>
        <v>0</v>
      </c>
      <c r="BE19" s="309">
        <f>'Проверочная  таблица'!M20+'Проверочная  таблица'!U20+'Проверочная  таблица'!AH20</f>
        <v>0</v>
      </c>
      <c r="BF19" s="310">
        <f>'Проверочная  таблица'!CZ20+'Проверочная  таблица'!DH20+'Проверочная  таблица'!CR20+'Проверочная  таблица'!QZ20+'Проверочная  таблица'!KJ20+'Проверочная  таблица'!IN20+'Проверочная  таблица'!MC20+'Проверочная  таблица'!BQ20+'Проверочная  таблица'!HH20+'Проверочная  таблица'!GF20+'Проверочная  таблица'!NF20+'Проверочная  таблица'!PN20+'Проверочная  таблица'!QP20</f>
        <v>0</v>
      </c>
      <c r="BG19" s="308"/>
      <c r="BH19" s="312">
        <f>'Проверочная  таблица'!VR20+'Проверочная  таблица'!TJ20+'Проверочная  таблица'!TZ20</f>
        <v>0</v>
      </c>
      <c r="BI19" s="311"/>
    </row>
    <row r="20" spans="1:61" ht="21.75" customHeight="1" x14ac:dyDescent="0.25">
      <c r="A20" s="19" t="s">
        <v>88</v>
      </c>
      <c r="B20" s="20">
        <f>'Проверочная  таблица'!B21</f>
        <v>376385006.07999998</v>
      </c>
      <c r="C20" s="21">
        <f>'Проверочная  таблица'!D21</f>
        <v>107693099</v>
      </c>
      <c r="D20" s="213">
        <f>'Проверочная  таблица'!AI21</f>
        <v>67999714.719999999</v>
      </c>
      <c r="E20" s="20">
        <f>'Проверочная  таблица'!RA21</f>
        <v>187520949.17000002</v>
      </c>
      <c r="F20" s="26">
        <f>'Проверочная  таблица'!SK21</f>
        <v>13171243.189999999</v>
      </c>
      <c r="G20" s="26"/>
      <c r="H20" s="22">
        <f t="shared" si="5"/>
        <v>326056469.5</v>
      </c>
      <c r="I20" s="23">
        <f t="shared" si="6"/>
        <v>68910240</v>
      </c>
      <c r="J20" s="22">
        <f t="shared" si="7"/>
        <v>61549385.399999999</v>
      </c>
      <c r="K20" s="23">
        <f t="shared" si="8"/>
        <v>186773149.17000002</v>
      </c>
      <c r="L20" s="23">
        <f t="shared" si="9"/>
        <v>8823694.9299999997</v>
      </c>
      <c r="M20" s="22"/>
      <c r="N20" s="24">
        <f t="shared" si="10"/>
        <v>50328536.579999998</v>
      </c>
      <c r="O20" s="23">
        <f>'Проверочная  таблица'!P21+'Проверочная  таблица'!AA21+'Проверочная  таблица'!H21</f>
        <v>38782859</v>
      </c>
      <c r="P20" s="22">
        <f>'Проверочная  таблица'!CE21+'Проверочная  таблица'!CU21+'Проверочная  таблица'!DC21+'Проверочная  таблица'!JK21+'Проверочная  таблица'!LI21+'Проверочная  таблица'!HW21+'Проверочная  таблица'!QU21+'Проверочная  таблица'!AW21+'Проверочная  таблица'!GS21+'Проверочная  таблица'!FW21+'Проверочная  таблица'!MG21+'Проверочная  таблица'!OE21+'Проверочная  таблица'!QA21</f>
        <v>6450329.3200000003</v>
      </c>
      <c r="Q20" s="24">
        <f>'Проверочная  таблица'!RM21</f>
        <v>747800</v>
      </c>
      <c r="R20" s="20">
        <f>'Проверочная  таблица'!VC21+'Проверочная  таблица'!TC21+'Проверочная  таблица'!TQ21</f>
        <v>4347548.26</v>
      </c>
      <c r="S20" s="25"/>
      <c r="T20" s="308">
        <f t="shared" si="11"/>
        <v>50328536.579999998</v>
      </c>
      <c r="U20" s="308">
        <f t="shared" si="12"/>
        <v>38782859</v>
      </c>
      <c r="V20" s="309">
        <f t="shared" si="13"/>
        <v>6450329.3200000003</v>
      </c>
      <c r="W20" s="310">
        <f t="shared" si="14"/>
        <v>747800</v>
      </c>
      <c r="X20" s="309">
        <f t="shared" si="15"/>
        <v>4347548.26</v>
      </c>
      <c r="Y20" s="311"/>
      <c r="Z20" s="310">
        <f t="shared" si="16"/>
        <v>0</v>
      </c>
      <c r="AA20" s="308">
        <f>'Проверочная  таблица'!AG21+'Проверочная  таблица'!T21+'Проверочная  таблица'!L21</f>
        <v>0</v>
      </c>
      <c r="AB20" s="309">
        <f>'Проверочная  таблица'!CY21+'Проверочная  таблица'!DG21+'Проверочная  таблица'!CQ21+'Проверочная  таблица'!QY21+'Проверочная  таблица'!KE21+'Проверочная  таблица'!IK21+'Проверочная  таблица'!LY21+'Проверочная  таблица'!BM21+'Проверочная  таблица'!HE21+'Проверочная  таблица'!GE21+'Проверочная  таблица'!NA21+'Проверочная  таблица'!PG21+'Проверочная  таблица'!QM21</f>
        <v>0</v>
      </c>
      <c r="AC20" s="310"/>
      <c r="AD20" s="312">
        <f>'Проверочная  таблица'!VO21+'Проверочная  таблица'!TI21+'Проверочная  таблица'!TY21</f>
        <v>0</v>
      </c>
      <c r="AE20" s="311"/>
      <c r="AF20" s="26">
        <f>'Проверочная  таблица'!C21</f>
        <v>261779005.17000002</v>
      </c>
      <c r="AG20" s="21">
        <f>'Проверочная  таблица'!E21</f>
        <v>77031659</v>
      </c>
      <c r="AH20" s="213">
        <f>'Проверочная  таблица'!AJ21</f>
        <v>41733891.969999999</v>
      </c>
      <c r="AI20" s="20">
        <f>'Проверочная  таблица'!RD21</f>
        <v>134676740.09</v>
      </c>
      <c r="AJ20" s="25">
        <f>'Проверочная  таблица'!SL21</f>
        <v>8336714.1100000003</v>
      </c>
      <c r="AK20" s="26"/>
      <c r="AL20" s="22">
        <f t="shared" si="17"/>
        <v>224246283.72000003</v>
      </c>
      <c r="AM20" s="23">
        <f t="shared" si="18"/>
        <v>46158400</v>
      </c>
      <c r="AN20" s="22">
        <f t="shared" si="19"/>
        <v>39363963.740000002</v>
      </c>
      <c r="AO20" s="23">
        <f t="shared" si="20"/>
        <v>134161866.94</v>
      </c>
      <c r="AP20" s="23">
        <f t="shared" si="21"/>
        <v>4562053.04</v>
      </c>
      <c r="AQ20" s="22"/>
      <c r="AR20" s="24">
        <f t="shared" si="22"/>
        <v>37532721.450000003</v>
      </c>
      <c r="AS20" s="24">
        <f>'Проверочная  таблица'!Q21+'Проверочная  таблица'!AB21+'Проверочная  таблица'!I21</f>
        <v>30873259</v>
      </c>
      <c r="AT20" s="23">
        <f>'Проверочная  таблица'!QV21+'Проверочная  таблица'!DD21+'Проверочная  таблица'!CV21+'Проверочная  таблица'!CJ21+'Проверочная  таблица'!JP21+'Проверочная  таблица'!HZ21+'Проверочная  таблица'!LM21+'Проверочная  таблица'!BA21+'Проверочная  таблица'!GV21+'Проверочная  таблица'!FZ21+'Проверочная  таблица'!ML21+'Проверочная  таблица'!OL21+'Проверочная  таблица'!QD21</f>
        <v>2369928.23</v>
      </c>
      <c r="AU20" s="22">
        <f>'Проверочная  таблица'!RN21</f>
        <v>514873.15</v>
      </c>
      <c r="AV20" s="23">
        <f>'Проверочная  таблица'!VF21+'Проверочная  таблица'!TE21+'Проверочная  таблица'!TT21</f>
        <v>3774661.0700000003</v>
      </c>
      <c r="AW20" s="26"/>
      <c r="AX20" s="308">
        <f t="shared" si="23"/>
        <v>37532721.450000003</v>
      </c>
      <c r="AY20" s="308">
        <f t="shared" si="24"/>
        <v>30873259</v>
      </c>
      <c r="AZ20" s="309">
        <f t="shared" si="2"/>
        <v>2369928.23</v>
      </c>
      <c r="BA20" s="310">
        <f t="shared" si="3"/>
        <v>514873.15</v>
      </c>
      <c r="BB20" s="309">
        <f t="shared" si="4"/>
        <v>3774661.0700000003</v>
      </c>
      <c r="BC20" s="311"/>
      <c r="BD20" s="310">
        <f t="shared" si="25"/>
        <v>0</v>
      </c>
      <c r="BE20" s="309">
        <f>'Проверочная  таблица'!M21+'Проверочная  таблица'!U21+'Проверочная  таблица'!AH21</f>
        <v>0</v>
      </c>
      <c r="BF20" s="310">
        <f>'Проверочная  таблица'!CZ21+'Проверочная  таблица'!DH21+'Проверочная  таблица'!CR21+'Проверочная  таблица'!QZ21+'Проверочная  таблица'!KJ21+'Проверочная  таблица'!IN21+'Проверочная  таблица'!MC21+'Проверочная  таблица'!BQ21+'Проверочная  таблица'!HH21+'Проверочная  таблица'!GF21+'Проверочная  таблица'!NF21+'Проверочная  таблица'!PN21+'Проверочная  таблица'!QP21</f>
        <v>0</v>
      </c>
      <c r="BG20" s="308"/>
      <c r="BH20" s="312">
        <f>'Проверочная  таблица'!VR21+'Проверочная  таблица'!TJ21+'Проверочная  таблица'!TZ21</f>
        <v>0</v>
      </c>
      <c r="BI20" s="311"/>
    </row>
    <row r="21" spans="1:61" ht="21.75" customHeight="1" x14ac:dyDescent="0.25">
      <c r="A21" s="27" t="s">
        <v>89</v>
      </c>
      <c r="B21" s="20">
        <f>'Проверочная  таблица'!B22</f>
        <v>1131553294.8400002</v>
      </c>
      <c r="C21" s="21">
        <f>'Проверочная  таблица'!D22</f>
        <v>223223742</v>
      </c>
      <c r="D21" s="213">
        <f>'Проверочная  таблица'!AI22</f>
        <v>330881018.39000005</v>
      </c>
      <c r="E21" s="20">
        <f>'Проверочная  таблица'!RA22</f>
        <v>439286551.45000005</v>
      </c>
      <c r="F21" s="26">
        <f>'Проверочная  таблица'!SK22</f>
        <v>138161983</v>
      </c>
      <c r="G21" s="26"/>
      <c r="H21" s="22">
        <f t="shared" si="5"/>
        <v>790952128.63000011</v>
      </c>
      <c r="I21" s="23">
        <f t="shared" si="6"/>
        <v>109999734.00000001</v>
      </c>
      <c r="J21" s="22">
        <f t="shared" si="7"/>
        <v>183309396.81000006</v>
      </c>
      <c r="K21" s="23">
        <f t="shared" si="8"/>
        <v>437254151.45000005</v>
      </c>
      <c r="L21" s="23">
        <f t="shared" si="9"/>
        <v>60388846.370000005</v>
      </c>
      <c r="M21" s="22"/>
      <c r="N21" s="24">
        <f t="shared" si="10"/>
        <v>340601166.20999998</v>
      </c>
      <c r="O21" s="23">
        <f>'Проверочная  таблица'!P22+'Проверочная  таблица'!AA22+'Проверочная  таблица'!H22</f>
        <v>113224007.99999999</v>
      </c>
      <c r="P21" s="22">
        <f>'Проверочная  таблица'!CE22+'Проверочная  таблица'!CU22+'Проверочная  таблица'!DC22+'Проверочная  таблица'!JK22+'Проверочная  таблица'!LI22+'Проверочная  таблица'!HW22+'Проверочная  таблица'!QU22+'Проверочная  таблица'!AW22+'Проверочная  таблица'!GS22+'Проверочная  таблица'!FW22+'Проверочная  таблица'!MG22+'Проверочная  таблица'!OE22+'Проверочная  таблица'!QA22</f>
        <v>147571621.57999998</v>
      </c>
      <c r="Q21" s="24">
        <f>'Проверочная  таблица'!RM22</f>
        <v>2032400</v>
      </c>
      <c r="R21" s="20">
        <f>'Проверочная  таблица'!VC22+'Проверочная  таблица'!TC22+'Проверочная  таблица'!TQ22</f>
        <v>77773136.629999995</v>
      </c>
      <c r="S21" s="25"/>
      <c r="T21" s="308">
        <f t="shared" si="11"/>
        <v>78810564.199999958</v>
      </c>
      <c r="U21" s="308">
        <f t="shared" si="12"/>
        <v>65936793.999999978</v>
      </c>
      <c r="V21" s="309">
        <f t="shared" si="13"/>
        <v>7568233.5699999928</v>
      </c>
      <c r="W21" s="310">
        <f t="shared" si="14"/>
        <v>2032400</v>
      </c>
      <c r="X21" s="309">
        <f t="shared" si="15"/>
        <v>3273136.6299999952</v>
      </c>
      <c r="Y21" s="311"/>
      <c r="Z21" s="310">
        <f t="shared" si="16"/>
        <v>261790602.00999999</v>
      </c>
      <c r="AA21" s="308">
        <f>'Проверочная  таблица'!AG22+'Проверочная  таблица'!T22+'Проверочная  таблица'!L22</f>
        <v>47287214.000000007</v>
      </c>
      <c r="AB21" s="309">
        <f>'Проверочная  таблица'!CY22+'Проверочная  таблица'!DG22+'Проверочная  таблица'!CQ22+'Проверочная  таблица'!QY22+'Проверочная  таблица'!KE22+'Проверочная  таблица'!IK22+'Проверочная  таблица'!LY22+'Проверочная  таблица'!BM22+'Проверочная  таблица'!HE22+'Проверочная  таблица'!GE22+'Проверочная  таблица'!NA22+'Проверочная  таблица'!PG22+'Проверочная  таблица'!QM22</f>
        <v>140003388.00999999</v>
      </c>
      <c r="AC21" s="310"/>
      <c r="AD21" s="312">
        <f>'Проверочная  таблица'!VO22+'Проверочная  таблица'!TI22+'Проверочная  таблица'!TY22</f>
        <v>74500000</v>
      </c>
      <c r="AE21" s="311"/>
      <c r="AF21" s="26">
        <f>'Проверочная  таблица'!C22</f>
        <v>730523609.28999996</v>
      </c>
      <c r="AG21" s="21">
        <f>'Проверочная  таблица'!E22</f>
        <v>177540427</v>
      </c>
      <c r="AH21" s="213">
        <f>'Проверочная  таблица'!AJ22</f>
        <v>137713070.22999999</v>
      </c>
      <c r="AI21" s="20">
        <f>'Проверочная  таблица'!RD22</f>
        <v>342544241.18000001</v>
      </c>
      <c r="AJ21" s="25">
        <f>'Проверочная  таблица'!SL22</f>
        <v>72725870.879999995</v>
      </c>
      <c r="AK21" s="26"/>
      <c r="AL21" s="22">
        <f t="shared" si="17"/>
        <v>476983288.94999999</v>
      </c>
      <c r="AM21" s="23">
        <f t="shared" si="18"/>
        <v>81917324</v>
      </c>
      <c r="AN21" s="22">
        <f t="shared" si="19"/>
        <v>32255866.310000002</v>
      </c>
      <c r="AO21" s="23">
        <f t="shared" si="20"/>
        <v>341395014.07999998</v>
      </c>
      <c r="AP21" s="23">
        <f t="shared" si="21"/>
        <v>21415084.559999995</v>
      </c>
      <c r="AQ21" s="22"/>
      <c r="AR21" s="24">
        <f t="shared" si="22"/>
        <v>253540320.33999997</v>
      </c>
      <c r="AS21" s="24">
        <f>'Проверочная  таблица'!Q22+'Проверочная  таблица'!AB22+'Проверочная  таблица'!I22</f>
        <v>95623103</v>
      </c>
      <c r="AT21" s="23">
        <f>'Проверочная  таблица'!QV22+'Проверочная  таблица'!DD22+'Проверочная  таблица'!CV22+'Проверочная  таблица'!CJ22+'Проверочная  таблица'!JP22+'Проверочная  таблица'!HZ22+'Проверочная  таблица'!LM22+'Проверочная  таблица'!BA22+'Проверочная  таблица'!GV22+'Проверочная  таблица'!FZ22+'Проверочная  таблица'!ML22+'Проверочная  таблица'!OL22+'Проверочная  таблица'!QD22</f>
        <v>105457203.91999999</v>
      </c>
      <c r="AU21" s="22">
        <f>'Проверочная  таблица'!RN22</f>
        <v>1149227.0999999999</v>
      </c>
      <c r="AV21" s="23">
        <f>'Проверочная  таблица'!VF22+'Проверочная  таблица'!TE22+'Проверочная  таблица'!TT22</f>
        <v>51310786.32</v>
      </c>
      <c r="AW21" s="26"/>
      <c r="AX21" s="308">
        <f t="shared" si="23"/>
        <v>55977243.349999994</v>
      </c>
      <c r="AY21" s="308">
        <f t="shared" si="24"/>
        <v>49780569</v>
      </c>
      <c r="AZ21" s="309">
        <f t="shared" si="2"/>
        <v>1774310.6199999899</v>
      </c>
      <c r="BA21" s="310">
        <f t="shared" si="3"/>
        <v>1149227.0999999999</v>
      </c>
      <c r="BB21" s="309">
        <f t="shared" si="4"/>
        <v>3273136.6300000027</v>
      </c>
      <c r="BC21" s="311"/>
      <c r="BD21" s="310">
        <f t="shared" si="25"/>
        <v>197563076.99000001</v>
      </c>
      <c r="BE21" s="309">
        <f>'Проверочная  таблица'!M22+'Проверочная  таблица'!U22+'Проверочная  таблица'!AH22</f>
        <v>45842534</v>
      </c>
      <c r="BF21" s="310">
        <f>'Проверочная  таблица'!CZ22+'Проверочная  таблица'!DH22+'Проверочная  таблица'!CR22+'Проверочная  таблица'!QZ22+'Проверочная  таблица'!KJ22+'Проверочная  таблица'!IN22+'Проверочная  таблица'!MC22+'Проверочная  таблица'!BQ22+'Проверочная  таблица'!HH22+'Проверочная  таблица'!GF22+'Проверочная  таблица'!NF22+'Проверочная  таблица'!PN22+'Проверочная  таблица'!QP22</f>
        <v>103682893.3</v>
      </c>
      <c r="BG21" s="308"/>
      <c r="BH21" s="312">
        <f>'Проверочная  таблица'!VR22+'Проверочная  таблица'!TJ22+'Проверочная  таблица'!TZ22</f>
        <v>48037649.689999998</v>
      </c>
      <c r="BI21" s="311"/>
    </row>
    <row r="22" spans="1:61" ht="21.75" customHeight="1" x14ac:dyDescent="0.25">
      <c r="A22" s="19" t="s">
        <v>90</v>
      </c>
      <c r="B22" s="20">
        <f>'Проверочная  таблица'!B23</f>
        <v>449066821.10000002</v>
      </c>
      <c r="C22" s="21">
        <f>'Проверочная  таблица'!D23</f>
        <v>83816062</v>
      </c>
      <c r="D22" s="213">
        <f>'Проверочная  таблица'!AI23</f>
        <v>80327629.11999999</v>
      </c>
      <c r="E22" s="20">
        <f>'Проверочная  таблица'!RA23</f>
        <v>270185003.05000001</v>
      </c>
      <c r="F22" s="26">
        <f>'Проверочная  таблица'!SK23</f>
        <v>14738126.93</v>
      </c>
      <c r="G22" s="26"/>
      <c r="H22" s="22">
        <f t="shared" si="5"/>
        <v>402601103.46000004</v>
      </c>
      <c r="I22" s="23">
        <f t="shared" si="6"/>
        <v>48223350</v>
      </c>
      <c r="J22" s="22">
        <f t="shared" si="7"/>
        <v>72998202.489999995</v>
      </c>
      <c r="K22" s="23">
        <f t="shared" si="8"/>
        <v>268905703.05000001</v>
      </c>
      <c r="L22" s="23">
        <f t="shared" si="9"/>
        <v>12473847.92</v>
      </c>
      <c r="M22" s="22"/>
      <c r="N22" s="24">
        <f t="shared" si="10"/>
        <v>46465717.640000001</v>
      </c>
      <c r="O22" s="23">
        <f>'Проверочная  таблица'!P23+'Проверочная  таблица'!AA23+'Проверочная  таблица'!H23</f>
        <v>35592712</v>
      </c>
      <c r="P22" s="22">
        <f>'Проверочная  таблица'!CE23+'Проверочная  таблица'!CU23+'Проверочная  таблица'!DC23+'Проверочная  таблица'!JK23+'Проверочная  таблица'!LI23+'Проверочная  таблица'!HW23+'Проверочная  таблица'!QU23+'Проверочная  таблица'!AW23+'Проверочная  таблица'!GS23+'Проверочная  таблица'!FW23+'Проверочная  таблица'!MG23+'Проверочная  таблица'!OE23+'Проверочная  таблица'!QA23</f>
        <v>7329426.6300000008</v>
      </c>
      <c r="Q22" s="24">
        <f>'Проверочная  таблица'!RM23</f>
        <v>1279300</v>
      </c>
      <c r="R22" s="20">
        <f>'Проверочная  таблица'!VC23+'Проверочная  таблица'!TC23+'Проверочная  таблица'!TQ23</f>
        <v>2264279.0100000002</v>
      </c>
      <c r="S22" s="25"/>
      <c r="T22" s="308">
        <f t="shared" si="11"/>
        <v>46465717.640000001</v>
      </c>
      <c r="U22" s="308">
        <f t="shared" si="12"/>
        <v>35592712</v>
      </c>
      <c r="V22" s="309">
        <f t="shared" si="13"/>
        <v>7329426.6300000008</v>
      </c>
      <c r="W22" s="310">
        <f t="shared" si="14"/>
        <v>1279300</v>
      </c>
      <c r="X22" s="309">
        <f t="shared" si="15"/>
        <v>2264279.0100000002</v>
      </c>
      <c r="Y22" s="311"/>
      <c r="Z22" s="310">
        <f t="shared" si="16"/>
        <v>0</v>
      </c>
      <c r="AA22" s="308">
        <f>'Проверочная  таблица'!AG23+'Проверочная  таблица'!T23+'Проверочная  таблица'!L23</f>
        <v>0</v>
      </c>
      <c r="AB22" s="309">
        <f>'Проверочная  таблица'!CY23+'Проверочная  таблица'!DG23+'Проверочная  таблица'!CQ23+'Проверочная  таблица'!QY23+'Проверочная  таблица'!KE23+'Проверочная  таблица'!IK23+'Проверочная  таблица'!LY23+'Проверочная  таблица'!BM23+'Проверочная  таблица'!HE23+'Проверочная  таблица'!GE23+'Проверочная  таблица'!NA23+'Проверочная  таблица'!PG23+'Проверочная  таблица'!QM23</f>
        <v>0</v>
      </c>
      <c r="AC22" s="310"/>
      <c r="AD22" s="312">
        <f>'Проверочная  таблица'!VO23+'Проверочная  таблица'!TI23+'Проверочная  таблица'!TY23</f>
        <v>0</v>
      </c>
      <c r="AE22" s="311"/>
      <c r="AF22" s="26">
        <f>'Проверочная  таблица'!C23</f>
        <v>334397915.13</v>
      </c>
      <c r="AG22" s="21">
        <f>'Проверочная  таблица'!E23</f>
        <v>68425407</v>
      </c>
      <c r="AH22" s="213">
        <f>'Проверочная  таблица'!AJ23</f>
        <v>59205027.459999993</v>
      </c>
      <c r="AI22" s="20">
        <f>'Проверочная  таблица'!RD23</f>
        <v>196888885.73999998</v>
      </c>
      <c r="AJ22" s="25">
        <f>'Проверочная  таблица'!SL23</f>
        <v>9878594.9299999997</v>
      </c>
      <c r="AK22" s="26"/>
      <c r="AL22" s="22">
        <f t="shared" si="17"/>
        <v>301756843.94</v>
      </c>
      <c r="AM22" s="23">
        <f t="shared" si="18"/>
        <v>40099525</v>
      </c>
      <c r="AN22" s="22">
        <f t="shared" si="19"/>
        <v>57945056.149999991</v>
      </c>
      <c r="AO22" s="23">
        <f t="shared" si="20"/>
        <v>196097946.86999997</v>
      </c>
      <c r="AP22" s="23">
        <f t="shared" si="21"/>
        <v>7614315.9199999999</v>
      </c>
      <c r="AQ22" s="22"/>
      <c r="AR22" s="24">
        <f t="shared" si="22"/>
        <v>32641071.190000001</v>
      </c>
      <c r="AS22" s="24">
        <f>'Проверочная  таблица'!Q23+'Проверочная  таблица'!AB23+'Проверочная  таблица'!I23</f>
        <v>28325882</v>
      </c>
      <c r="AT22" s="23">
        <f>'Проверочная  таблица'!QV23+'Проверочная  таблица'!DD23+'Проверочная  таблица'!CV23+'Проверочная  таблица'!CJ23+'Проверочная  таблица'!JP23+'Проверочная  таблица'!HZ23+'Проверочная  таблица'!LM23+'Проверочная  таблица'!BA23+'Проверочная  таблица'!GV23+'Проверочная  таблица'!FZ23+'Проверочная  таблица'!ML23+'Проверочная  таблица'!OL23+'Проверочная  таблица'!QD23</f>
        <v>1259971.31</v>
      </c>
      <c r="AU22" s="22">
        <f>'Проверочная  таблица'!RN23</f>
        <v>790938.87</v>
      </c>
      <c r="AV22" s="23">
        <f>'Проверочная  таблица'!VF23+'Проверочная  таблица'!TE23+'Проверочная  таблица'!TT23</f>
        <v>2264279.0100000002</v>
      </c>
      <c r="AW22" s="26"/>
      <c r="AX22" s="308">
        <f t="shared" si="23"/>
        <v>32641071.190000001</v>
      </c>
      <c r="AY22" s="308">
        <f t="shared" si="24"/>
        <v>28325882</v>
      </c>
      <c r="AZ22" s="309">
        <f t="shared" si="2"/>
        <v>1259971.31</v>
      </c>
      <c r="BA22" s="310">
        <f t="shared" si="3"/>
        <v>790938.87</v>
      </c>
      <c r="BB22" s="309">
        <f t="shared" si="4"/>
        <v>2264279.0100000002</v>
      </c>
      <c r="BC22" s="311"/>
      <c r="BD22" s="310">
        <f t="shared" si="25"/>
        <v>0</v>
      </c>
      <c r="BE22" s="309">
        <f>'Проверочная  таблица'!M23+'Проверочная  таблица'!U23+'Проверочная  таблица'!AH23</f>
        <v>0</v>
      </c>
      <c r="BF22" s="310">
        <f>'Проверочная  таблица'!CZ23+'Проверочная  таблица'!DH23+'Проверочная  таблица'!CR23+'Проверочная  таблица'!QZ23+'Проверочная  таблица'!KJ23+'Проверочная  таблица'!IN23+'Проверочная  таблица'!MC23+'Проверочная  таблица'!BQ23+'Проверочная  таблица'!HH23+'Проверочная  таблица'!GF23+'Проверочная  таблица'!NF23+'Проверочная  таблица'!PN23+'Проверочная  таблица'!QP23</f>
        <v>0</v>
      </c>
      <c r="BG22" s="308"/>
      <c r="BH22" s="312">
        <f>'Проверочная  таблица'!VR23+'Проверочная  таблица'!TJ23+'Проверочная  таблица'!TZ23</f>
        <v>0</v>
      </c>
      <c r="BI22" s="311"/>
    </row>
    <row r="23" spans="1:61" ht="21.75" customHeight="1" x14ac:dyDescent="0.25">
      <c r="A23" s="27" t="s">
        <v>91</v>
      </c>
      <c r="B23" s="20">
        <f>'Проверочная  таблица'!B24</f>
        <v>903414297.16999984</v>
      </c>
      <c r="C23" s="21">
        <f>'Проверочная  таблица'!D24</f>
        <v>108666065.99999999</v>
      </c>
      <c r="D23" s="213">
        <f>'Проверочная  таблица'!AI24</f>
        <v>132455009.29999998</v>
      </c>
      <c r="E23" s="20">
        <f>'Проверочная  таблица'!RA24</f>
        <v>632694277.02999985</v>
      </c>
      <c r="F23" s="26">
        <f>'Проверочная  таблица'!SK24</f>
        <v>29598944.84</v>
      </c>
      <c r="G23" s="26"/>
      <c r="H23" s="22">
        <f t="shared" si="5"/>
        <v>796322195.80999982</v>
      </c>
      <c r="I23" s="23">
        <f t="shared" si="6"/>
        <v>21029837</v>
      </c>
      <c r="J23" s="22">
        <f t="shared" si="7"/>
        <v>120242088.49999999</v>
      </c>
      <c r="K23" s="23">
        <f t="shared" si="8"/>
        <v>629345977.02999985</v>
      </c>
      <c r="L23" s="23">
        <f t="shared" si="9"/>
        <v>25704293.280000001</v>
      </c>
      <c r="M23" s="22"/>
      <c r="N23" s="24">
        <f t="shared" si="10"/>
        <v>107092101.35999998</v>
      </c>
      <c r="O23" s="23">
        <f>'Проверочная  таблица'!P24+'Проверочная  таблица'!AA24+'Проверочная  таблица'!H24</f>
        <v>87636228.999999985</v>
      </c>
      <c r="P23" s="22">
        <f>'Проверочная  таблица'!CE24+'Проверочная  таблица'!CU24+'Проверочная  таблица'!DC24+'Проверочная  таблица'!JK24+'Проверочная  таблица'!LI24+'Проверочная  таблица'!HW24+'Проверочная  таблица'!QU24+'Проверочная  таблица'!AW24+'Проверочная  таблица'!GS24+'Проверочная  таблица'!FW24+'Проверочная  таблица'!MG24+'Проверочная  таблица'!OE24+'Проверочная  таблица'!QA24</f>
        <v>12212920.799999999</v>
      </c>
      <c r="Q23" s="24">
        <f>'Проверочная  таблица'!RM24</f>
        <v>3348300</v>
      </c>
      <c r="R23" s="20">
        <f>'Проверочная  таблица'!VC24+'Проверочная  таблица'!TC24+'Проверочная  таблица'!TQ24</f>
        <v>3894651.56</v>
      </c>
      <c r="S23" s="25"/>
      <c r="T23" s="308">
        <f t="shared" si="11"/>
        <v>107092101.35999998</v>
      </c>
      <c r="U23" s="308">
        <f t="shared" si="12"/>
        <v>87636228.999999985</v>
      </c>
      <c r="V23" s="309">
        <f t="shared" si="13"/>
        <v>12212920.799999999</v>
      </c>
      <c r="W23" s="310">
        <f t="shared" si="14"/>
        <v>3348300</v>
      </c>
      <c r="X23" s="309">
        <f t="shared" si="15"/>
        <v>3894651.56</v>
      </c>
      <c r="Y23" s="311"/>
      <c r="Z23" s="310">
        <f t="shared" si="16"/>
        <v>0</v>
      </c>
      <c r="AA23" s="308">
        <f>'Проверочная  таблица'!AG24+'Проверочная  таблица'!T24+'Проверочная  таблица'!L24</f>
        <v>0</v>
      </c>
      <c r="AB23" s="309">
        <f>'Проверочная  таблица'!CY24+'Проверочная  таблица'!DG24+'Проверочная  таблица'!CQ24+'Проверочная  таблица'!QY24+'Проверочная  таблица'!KE24+'Проверочная  таблица'!IK24+'Проверочная  таблица'!LY24+'Проверочная  таблица'!BM24+'Проверочная  таблица'!HE24+'Проверочная  таблица'!GE24+'Проверочная  таблица'!NA24+'Проверочная  таблица'!PG24+'Проверочная  таблица'!QM24</f>
        <v>0</v>
      </c>
      <c r="AC23" s="310"/>
      <c r="AD23" s="312">
        <f>'Проверочная  таблица'!VO24+'Проверочная  таблица'!TI24+'Проверочная  таблица'!TY24</f>
        <v>0</v>
      </c>
      <c r="AE23" s="311"/>
      <c r="AF23" s="26">
        <f>'Проверочная  таблица'!C24</f>
        <v>664759246.29999995</v>
      </c>
      <c r="AG23" s="21">
        <f>'Проверочная  таблица'!E24</f>
        <v>86397616</v>
      </c>
      <c r="AH23" s="213">
        <f>'Проверочная  таблица'!AJ24</f>
        <v>90673382.519999996</v>
      </c>
      <c r="AI23" s="20">
        <f>'Проверочная  таблица'!RD24</f>
        <v>467208004.62</v>
      </c>
      <c r="AJ23" s="25">
        <f>'Проверочная  таблица'!SL24</f>
        <v>20480243.16</v>
      </c>
      <c r="AK23" s="26"/>
      <c r="AL23" s="22">
        <f t="shared" si="17"/>
        <v>585800325.21999991</v>
      </c>
      <c r="AM23" s="23">
        <f t="shared" si="18"/>
        <v>16640412</v>
      </c>
      <c r="AN23" s="22">
        <f t="shared" si="19"/>
        <v>87358869.539999992</v>
      </c>
      <c r="AO23" s="23">
        <f t="shared" si="20"/>
        <v>465215452.07999998</v>
      </c>
      <c r="AP23" s="23">
        <f t="shared" si="21"/>
        <v>16585591.6</v>
      </c>
      <c r="AQ23" s="22"/>
      <c r="AR23" s="24">
        <f t="shared" si="22"/>
        <v>78958921.080000013</v>
      </c>
      <c r="AS23" s="24">
        <f>'Проверочная  таблица'!Q24+'Проверочная  таблица'!AB24+'Проверочная  таблица'!I24</f>
        <v>69757204</v>
      </c>
      <c r="AT23" s="23">
        <f>'Проверочная  таблица'!QV24+'Проверочная  таблица'!DD24+'Проверочная  таблица'!CV24+'Проверочная  таблица'!CJ24+'Проверочная  таблица'!JP24+'Проверочная  таблица'!HZ24+'Проверочная  таблица'!LM24+'Проверочная  таблица'!BA24+'Проверочная  таблица'!GV24+'Проверочная  таблица'!FZ24+'Проверочная  таблица'!ML24+'Проверочная  таблица'!OL24+'Проверочная  таблица'!QD24</f>
        <v>3314512.98</v>
      </c>
      <c r="AU23" s="22">
        <f>'Проверочная  таблица'!RN24</f>
        <v>1992552.54</v>
      </c>
      <c r="AV23" s="23">
        <f>'Проверочная  таблица'!VF24+'Проверочная  таблица'!TE24+'Проверочная  таблица'!TT24</f>
        <v>3894651.56</v>
      </c>
      <c r="AW23" s="26"/>
      <c r="AX23" s="308">
        <f t="shared" si="23"/>
        <v>78958921.080000013</v>
      </c>
      <c r="AY23" s="308">
        <f t="shared" si="24"/>
        <v>69757204</v>
      </c>
      <c r="AZ23" s="309">
        <f t="shared" si="2"/>
        <v>3314512.98</v>
      </c>
      <c r="BA23" s="310">
        <f t="shared" si="3"/>
        <v>1992552.54</v>
      </c>
      <c r="BB23" s="309">
        <f t="shared" si="4"/>
        <v>3894651.56</v>
      </c>
      <c r="BC23" s="311"/>
      <c r="BD23" s="310">
        <f t="shared" si="25"/>
        <v>0</v>
      </c>
      <c r="BE23" s="309">
        <f>'Проверочная  таблица'!M24+'Проверочная  таблица'!U24+'Проверочная  таблица'!AH24</f>
        <v>0</v>
      </c>
      <c r="BF23" s="310">
        <f>'Проверочная  таблица'!CZ24+'Проверочная  таблица'!DH24+'Проверочная  таблица'!CR24+'Проверочная  таблица'!QZ24+'Проверочная  таблица'!KJ24+'Проверочная  таблица'!IN24+'Проверочная  таблица'!MC24+'Проверочная  таблица'!BQ24+'Проверочная  таблица'!HH24+'Проверочная  таблица'!GF24+'Проверочная  таблица'!NF24+'Проверочная  таблица'!PN24+'Проверочная  таблица'!QP24</f>
        <v>0</v>
      </c>
      <c r="BG23" s="308"/>
      <c r="BH23" s="312">
        <f>'Проверочная  таблица'!VR24+'Проверочная  таблица'!TJ24+'Проверочная  таблица'!TZ24</f>
        <v>0</v>
      </c>
      <c r="BI23" s="311"/>
    </row>
    <row r="24" spans="1:61" ht="21.75" customHeight="1" x14ac:dyDescent="0.25">
      <c r="A24" s="19" t="s">
        <v>92</v>
      </c>
      <c r="B24" s="20">
        <f>'Проверочная  таблица'!B25</f>
        <v>497231109.08999991</v>
      </c>
      <c r="C24" s="21">
        <f>'Проверочная  таблица'!D25</f>
        <v>115012257</v>
      </c>
      <c r="D24" s="213">
        <f>'Проверочная  таблица'!AI25</f>
        <v>98678677.890000001</v>
      </c>
      <c r="E24" s="20">
        <f>'Проверочная  таблица'!RA25</f>
        <v>223064256.05999997</v>
      </c>
      <c r="F24" s="26">
        <f>'Проверочная  таблица'!SK25</f>
        <v>60475918.140000001</v>
      </c>
      <c r="G24" s="26"/>
      <c r="H24" s="22">
        <f t="shared" si="5"/>
        <v>410278652.20999992</v>
      </c>
      <c r="I24" s="23">
        <f t="shared" si="6"/>
        <v>61853970</v>
      </c>
      <c r="J24" s="22">
        <f t="shared" si="7"/>
        <v>70069289.379999995</v>
      </c>
      <c r="K24" s="23">
        <f t="shared" si="8"/>
        <v>221561556.05999997</v>
      </c>
      <c r="L24" s="23">
        <f t="shared" si="9"/>
        <v>56793836.770000003</v>
      </c>
      <c r="M24" s="22"/>
      <c r="N24" s="24">
        <f t="shared" si="10"/>
        <v>86952456.88000001</v>
      </c>
      <c r="O24" s="23">
        <f>'Проверочная  таблица'!P25+'Проверочная  таблица'!AA25+'Проверочная  таблица'!H25</f>
        <v>53158287</v>
      </c>
      <c r="P24" s="22">
        <f>'Проверочная  таблица'!CE25+'Проверочная  таблица'!CU25+'Проверочная  таблица'!DC25+'Проверочная  таблица'!JK25+'Проверочная  таблица'!LI25+'Проверочная  таблица'!HW25+'Проверочная  таблица'!QU25+'Проверочная  таблица'!AW25+'Проверочная  таблица'!GS25+'Проверочная  таблица'!FW25+'Проверочная  таблица'!MG25+'Проверочная  таблица'!OE25+'Проверочная  таблица'!QA25</f>
        <v>28609388.510000002</v>
      </c>
      <c r="Q24" s="24">
        <f>'Проверочная  таблица'!RM25</f>
        <v>1502700</v>
      </c>
      <c r="R24" s="20">
        <f>'Проверочная  таблица'!VC25+'Проверочная  таблица'!TC25+'Проверочная  таблица'!TQ25</f>
        <v>3682081.37</v>
      </c>
      <c r="S24" s="25"/>
      <c r="T24" s="308">
        <f t="shared" si="11"/>
        <v>86952456.88000001</v>
      </c>
      <c r="U24" s="308">
        <f t="shared" si="12"/>
        <v>53158287</v>
      </c>
      <c r="V24" s="309">
        <f t="shared" si="13"/>
        <v>28609388.510000002</v>
      </c>
      <c r="W24" s="310">
        <f t="shared" si="14"/>
        <v>1502700</v>
      </c>
      <c r="X24" s="309">
        <f t="shared" si="15"/>
        <v>3682081.37</v>
      </c>
      <c r="Y24" s="311"/>
      <c r="Z24" s="310">
        <f t="shared" si="16"/>
        <v>0</v>
      </c>
      <c r="AA24" s="308">
        <f>'Проверочная  таблица'!AG25+'Проверочная  таблица'!T25+'Проверочная  таблица'!L25</f>
        <v>0</v>
      </c>
      <c r="AB24" s="309">
        <f>'Проверочная  таблица'!CY25+'Проверочная  таблица'!DG25+'Проверочная  таблица'!CQ25+'Проверочная  таблица'!QY25+'Проверочная  таблица'!KE25+'Проверочная  таблица'!IK25+'Проверочная  таблица'!LY25+'Проверочная  таблица'!BM25+'Проверочная  таблица'!HE25+'Проверочная  таблица'!GE25+'Проверочная  таблица'!NA25+'Проверочная  таблица'!PG25+'Проверочная  таблица'!QM25</f>
        <v>0</v>
      </c>
      <c r="AC24" s="310"/>
      <c r="AD24" s="312">
        <f>'Проверочная  таблица'!VO25+'Проверочная  таблица'!TI25+'Проверочная  таблица'!TY25</f>
        <v>0</v>
      </c>
      <c r="AE24" s="311"/>
      <c r="AF24" s="26">
        <f>'Проверочная  таблица'!C25</f>
        <v>316946555.83000004</v>
      </c>
      <c r="AG24" s="21">
        <f>'Проверочная  таблица'!E25</f>
        <v>86151357</v>
      </c>
      <c r="AH24" s="213">
        <f>'Проверочная  таблица'!AJ25</f>
        <v>27744528.309999999</v>
      </c>
      <c r="AI24" s="20">
        <f>'Проверочная  таблица'!RD25</f>
        <v>179681014.05000001</v>
      </c>
      <c r="AJ24" s="25">
        <f>'Проверочная  таблица'!SL25</f>
        <v>23369656.469999999</v>
      </c>
      <c r="AK24" s="26"/>
      <c r="AL24" s="22">
        <f t="shared" si="17"/>
        <v>271540722.79000002</v>
      </c>
      <c r="AM24" s="23">
        <f t="shared" si="18"/>
        <v>46283000</v>
      </c>
      <c r="AN24" s="22">
        <f t="shared" si="19"/>
        <v>26940063.27</v>
      </c>
      <c r="AO24" s="23">
        <f t="shared" si="20"/>
        <v>178630084.42000002</v>
      </c>
      <c r="AP24" s="23">
        <f t="shared" si="21"/>
        <v>19687575.099999998</v>
      </c>
      <c r="AQ24" s="22"/>
      <c r="AR24" s="24">
        <f t="shared" si="22"/>
        <v>45405833.039999999</v>
      </c>
      <c r="AS24" s="24">
        <f>'Проверочная  таблица'!Q25+'Проверочная  таблица'!AB25+'Проверочная  таблица'!I25</f>
        <v>39868357</v>
      </c>
      <c r="AT24" s="23">
        <f>'Проверочная  таблица'!QV25+'Проверочная  таблица'!DD25+'Проверочная  таблица'!CV25+'Проверочная  таблица'!CJ25+'Проверочная  таблица'!JP25+'Проверочная  таблица'!HZ25+'Проверочная  таблица'!LM25+'Проверочная  таблица'!BA25+'Проверочная  таблица'!GV25+'Проверочная  таблица'!FZ25+'Проверочная  таблица'!ML25+'Проверочная  таблица'!OL25+'Проверочная  таблица'!QD25</f>
        <v>804465.04</v>
      </c>
      <c r="AU24" s="22">
        <f>'Проверочная  таблица'!RN25</f>
        <v>1050929.6300000001</v>
      </c>
      <c r="AV24" s="23">
        <f>'Проверочная  таблица'!VF25+'Проверочная  таблица'!TE25+'Проверочная  таблица'!TT25</f>
        <v>3682081.37</v>
      </c>
      <c r="AW24" s="26"/>
      <c r="AX24" s="308">
        <f t="shared" si="23"/>
        <v>45405833.039999999</v>
      </c>
      <c r="AY24" s="308">
        <f t="shared" si="24"/>
        <v>39868357</v>
      </c>
      <c r="AZ24" s="309">
        <f t="shared" si="2"/>
        <v>804465.04</v>
      </c>
      <c r="BA24" s="310">
        <f t="shared" si="3"/>
        <v>1050929.6300000001</v>
      </c>
      <c r="BB24" s="309">
        <f t="shared" si="4"/>
        <v>3682081.37</v>
      </c>
      <c r="BC24" s="311"/>
      <c r="BD24" s="310">
        <f t="shared" si="25"/>
        <v>0</v>
      </c>
      <c r="BE24" s="309">
        <f>'Проверочная  таблица'!M25+'Проверочная  таблица'!U25+'Проверочная  таблица'!AH25</f>
        <v>0</v>
      </c>
      <c r="BF24" s="310">
        <f>'Проверочная  таблица'!CZ25+'Проверочная  таблица'!DH25+'Проверочная  таблица'!CR25+'Проверочная  таблица'!QZ25+'Проверочная  таблица'!KJ25+'Проверочная  таблица'!IN25+'Проверочная  таблица'!MC25+'Проверочная  таблица'!BQ25+'Проверочная  таблица'!HH25+'Проверочная  таблица'!GF25+'Проверочная  таблица'!NF25+'Проверочная  таблица'!PN25+'Проверочная  таблица'!QP25</f>
        <v>0</v>
      </c>
      <c r="BG24" s="308"/>
      <c r="BH24" s="312">
        <f>'Проверочная  таблица'!VR25+'Проверочная  таблица'!TJ25+'Проверочная  таблица'!TZ25</f>
        <v>0</v>
      </c>
      <c r="BI24" s="311"/>
    </row>
    <row r="25" spans="1:61" ht="21.75" customHeight="1" x14ac:dyDescent="0.25">
      <c r="A25" s="27" t="s">
        <v>93</v>
      </c>
      <c r="B25" s="20">
        <f>'Проверочная  таблица'!B26</f>
        <v>456664084.28999996</v>
      </c>
      <c r="C25" s="21">
        <f>'Проверочная  таблица'!D26</f>
        <v>76320132</v>
      </c>
      <c r="D25" s="213">
        <f>'Проверочная  таблица'!AI26</f>
        <v>60521356.20000001</v>
      </c>
      <c r="E25" s="20">
        <f>'Проверочная  таблица'!RA26</f>
        <v>303659045.58999997</v>
      </c>
      <c r="F25" s="26">
        <f>'Проверочная  таблица'!SK26</f>
        <v>16163550.5</v>
      </c>
      <c r="G25" s="26"/>
      <c r="H25" s="22">
        <f t="shared" si="5"/>
        <v>383550901.96999997</v>
      </c>
      <c r="I25" s="23">
        <f t="shared" si="6"/>
        <v>20645637</v>
      </c>
      <c r="J25" s="22">
        <f t="shared" si="7"/>
        <v>47461437.63000001</v>
      </c>
      <c r="K25" s="23">
        <f t="shared" si="8"/>
        <v>302261645.58999997</v>
      </c>
      <c r="L25" s="23">
        <f t="shared" si="9"/>
        <v>13182181.75</v>
      </c>
      <c r="M25" s="22"/>
      <c r="N25" s="24">
        <f t="shared" si="10"/>
        <v>73113182.319999993</v>
      </c>
      <c r="O25" s="23">
        <f>'Проверочная  таблица'!P26+'Проверочная  таблица'!AA26+'Проверочная  таблица'!H26</f>
        <v>55674495</v>
      </c>
      <c r="P25" s="22">
        <f>'Проверочная  таблица'!CE26+'Проверочная  таблица'!CU26+'Проверочная  таблица'!DC26+'Проверочная  таблица'!JK26+'Проверочная  таблица'!LI26+'Проверочная  таблица'!HW26+'Проверочная  таблица'!QU26+'Проверочная  таблица'!AW26+'Проверочная  таблица'!GS26+'Проверочная  таблица'!FW26+'Проверочная  таблица'!MG26+'Проверочная  таблица'!OE26+'Проверочная  таблица'!QA26</f>
        <v>13059918.57</v>
      </c>
      <c r="Q25" s="24">
        <f>'Проверочная  таблица'!RM26</f>
        <v>1397400</v>
      </c>
      <c r="R25" s="20">
        <f>'Проверочная  таблица'!VC26+'Проверочная  таблица'!TC26+'Проверочная  таблица'!TQ26</f>
        <v>2981368.75</v>
      </c>
      <c r="S25" s="25"/>
      <c r="T25" s="308">
        <f t="shared" si="11"/>
        <v>73113182.319999993</v>
      </c>
      <c r="U25" s="308">
        <f t="shared" si="12"/>
        <v>55674495</v>
      </c>
      <c r="V25" s="309">
        <f t="shared" si="13"/>
        <v>13059918.57</v>
      </c>
      <c r="W25" s="310">
        <f t="shared" si="14"/>
        <v>1397400</v>
      </c>
      <c r="X25" s="309">
        <f t="shared" si="15"/>
        <v>2981368.75</v>
      </c>
      <c r="Y25" s="311"/>
      <c r="Z25" s="310">
        <f t="shared" si="16"/>
        <v>0</v>
      </c>
      <c r="AA25" s="308">
        <f>'Проверочная  таблица'!AG26+'Проверочная  таблица'!T26+'Проверочная  таблица'!L26</f>
        <v>0</v>
      </c>
      <c r="AB25" s="309">
        <f>'Проверочная  таблица'!CY26+'Проверочная  таблица'!DG26+'Проверочная  таблица'!CQ26+'Проверочная  таблица'!QY26+'Проверочная  таблица'!KE26+'Проверочная  таблица'!IK26+'Проверочная  таблица'!LY26+'Проверочная  таблица'!BM26+'Проверочная  таблица'!HE26+'Проверочная  таблица'!GE26+'Проверочная  таблица'!NA26+'Проверочная  таблица'!PG26+'Проверочная  таблица'!QM26</f>
        <v>0</v>
      </c>
      <c r="AC25" s="310"/>
      <c r="AD25" s="312">
        <f>'Проверочная  таблица'!VO26+'Проверочная  таблица'!TI26+'Проверочная  таблица'!TY26</f>
        <v>0</v>
      </c>
      <c r="AE25" s="311"/>
      <c r="AF25" s="26">
        <f>'Проверочная  таблица'!C26</f>
        <v>342736113.18000001</v>
      </c>
      <c r="AG25" s="21">
        <f>'Проверочная  таблица'!E26</f>
        <v>57768092</v>
      </c>
      <c r="AH25" s="213">
        <f>'Проверочная  таблица'!AJ26</f>
        <v>21659504.790000003</v>
      </c>
      <c r="AI25" s="20">
        <f>'Проверочная  таблица'!RD26</f>
        <v>250315254.69</v>
      </c>
      <c r="AJ25" s="25">
        <f>'Проверочная  таблица'!SL26</f>
        <v>12993261.699999999</v>
      </c>
      <c r="AK25" s="26"/>
      <c r="AL25" s="22">
        <f t="shared" si="17"/>
        <v>289550093.38999999</v>
      </c>
      <c r="AM25" s="23">
        <f t="shared" si="18"/>
        <v>15463997</v>
      </c>
      <c r="AN25" s="22">
        <f t="shared" si="19"/>
        <v>14716934.250000004</v>
      </c>
      <c r="AO25" s="23">
        <f t="shared" si="20"/>
        <v>249357269.19</v>
      </c>
      <c r="AP25" s="23">
        <f t="shared" si="21"/>
        <v>10011892.949999999</v>
      </c>
      <c r="AQ25" s="22"/>
      <c r="AR25" s="24">
        <f t="shared" si="22"/>
        <v>53186019.789999999</v>
      </c>
      <c r="AS25" s="24">
        <f>'Проверочная  таблица'!Q26+'Проверочная  таблица'!AB26+'Проверочная  таблица'!I26</f>
        <v>42304095</v>
      </c>
      <c r="AT25" s="23">
        <f>'Проверочная  таблица'!QV26+'Проверочная  таблица'!DD26+'Проверочная  таблица'!CV26+'Проверочная  таблица'!CJ26+'Проверочная  таблица'!JP26+'Проверочная  таблица'!HZ26+'Проверочная  таблица'!LM26+'Проверочная  таблица'!BA26+'Проверочная  таблица'!GV26+'Проверочная  таблица'!FZ26+'Проверочная  таблица'!ML26+'Проверочная  таблица'!OL26+'Проверочная  таблица'!QD26</f>
        <v>6942570.54</v>
      </c>
      <c r="AU25" s="22">
        <f>'Проверочная  таблица'!RN26</f>
        <v>957985.5</v>
      </c>
      <c r="AV25" s="23">
        <f>'Проверочная  таблица'!VF26+'Проверочная  таблица'!TE26+'Проверочная  таблица'!TT26</f>
        <v>2981368.75</v>
      </c>
      <c r="AW25" s="26"/>
      <c r="AX25" s="308">
        <f t="shared" si="23"/>
        <v>53186019.789999999</v>
      </c>
      <c r="AY25" s="308">
        <f t="shared" si="24"/>
        <v>42304095</v>
      </c>
      <c r="AZ25" s="309">
        <f t="shared" si="2"/>
        <v>6942570.54</v>
      </c>
      <c r="BA25" s="310">
        <f t="shared" si="3"/>
        <v>957985.5</v>
      </c>
      <c r="BB25" s="309">
        <f t="shared" si="4"/>
        <v>2981368.75</v>
      </c>
      <c r="BC25" s="311"/>
      <c r="BD25" s="310">
        <f t="shared" si="25"/>
        <v>0</v>
      </c>
      <c r="BE25" s="309">
        <f>'Проверочная  таблица'!M26+'Проверочная  таблица'!U26+'Проверочная  таблица'!AH26</f>
        <v>0</v>
      </c>
      <c r="BF25" s="310">
        <f>'Проверочная  таблица'!CZ26+'Проверочная  таблица'!DH26+'Проверочная  таблица'!CR26+'Проверочная  таблица'!QZ26+'Проверочная  таблица'!KJ26+'Проверочная  таблица'!IN26+'Проверочная  таблица'!MC26+'Проверочная  таблица'!BQ26+'Проверочная  таблица'!HH26+'Проверочная  таблица'!GF26+'Проверочная  таблица'!NF26+'Проверочная  таблица'!PN26+'Проверочная  таблица'!QP26</f>
        <v>0</v>
      </c>
      <c r="BG25" s="308"/>
      <c r="BH25" s="312">
        <f>'Проверочная  таблица'!VR26+'Проверочная  таблица'!TJ26+'Проверочная  таблица'!TZ26</f>
        <v>0</v>
      </c>
      <c r="BI25" s="311"/>
    </row>
    <row r="26" spans="1:61" ht="21.75" customHeight="1" x14ac:dyDescent="0.25">
      <c r="A26" s="19" t="s">
        <v>94</v>
      </c>
      <c r="B26" s="20">
        <f>'Проверочная  таблица'!B27</f>
        <v>958985875.61000001</v>
      </c>
      <c r="C26" s="21">
        <f>'Проверочная  таблица'!D27</f>
        <v>265284676</v>
      </c>
      <c r="D26" s="213">
        <f>'Проверочная  таблица'!AI27</f>
        <v>95239140.730000004</v>
      </c>
      <c r="E26" s="20">
        <f>'Проверочная  таблица'!RA27</f>
        <v>486395948.53000003</v>
      </c>
      <c r="F26" s="26">
        <f>'Проверочная  таблица'!SK27</f>
        <v>112066110.34999999</v>
      </c>
      <c r="G26" s="26"/>
      <c r="H26" s="22">
        <f t="shared" si="5"/>
        <v>672482292.63</v>
      </c>
      <c r="I26" s="23">
        <f t="shared" si="6"/>
        <v>117541216</v>
      </c>
      <c r="J26" s="22">
        <f t="shared" si="7"/>
        <v>36260606.940000005</v>
      </c>
      <c r="K26" s="23">
        <f t="shared" si="8"/>
        <v>483698648.53000003</v>
      </c>
      <c r="L26" s="23">
        <f t="shared" si="9"/>
        <v>34981821.159999996</v>
      </c>
      <c r="M26" s="22"/>
      <c r="N26" s="24">
        <f t="shared" si="10"/>
        <v>286503582.98000002</v>
      </c>
      <c r="O26" s="23">
        <f>'Проверочная  таблица'!P27+'Проверочная  таблица'!AA27+'Проверочная  таблица'!H27</f>
        <v>147743460</v>
      </c>
      <c r="P26" s="22">
        <f>'Проверочная  таблица'!CE27+'Проверочная  таблица'!CU27+'Проверочная  таблица'!DC27+'Проверочная  таблица'!JK27+'Проверочная  таблица'!LI27+'Проверочная  таблица'!HW27+'Проверочная  таблица'!QU27+'Проверочная  таблица'!AW27+'Проверочная  таблица'!GS27+'Проверочная  таблица'!FW27+'Проверочная  таблица'!MG27+'Проверочная  таблица'!OE27+'Проверочная  таблица'!QA27</f>
        <v>58978533.789999999</v>
      </c>
      <c r="Q26" s="24">
        <f>'Проверочная  таблица'!RM27</f>
        <v>2697300</v>
      </c>
      <c r="R26" s="20">
        <f>'Проверочная  таблица'!VC27+'Проверочная  таблица'!TC27+'Проверочная  таблица'!TQ27</f>
        <v>77084289.189999998</v>
      </c>
      <c r="S26" s="25"/>
      <c r="T26" s="308">
        <f t="shared" si="11"/>
        <v>122730459.22</v>
      </c>
      <c r="U26" s="308">
        <f t="shared" si="12"/>
        <v>103870676</v>
      </c>
      <c r="V26" s="309">
        <f t="shared" si="13"/>
        <v>10035471.579999998</v>
      </c>
      <c r="W26" s="310">
        <f t="shared" si="14"/>
        <v>2697300</v>
      </c>
      <c r="X26" s="309">
        <f t="shared" si="15"/>
        <v>6127011.6400000006</v>
      </c>
      <c r="Y26" s="311"/>
      <c r="Z26" s="310">
        <f t="shared" si="16"/>
        <v>163773123.75999999</v>
      </c>
      <c r="AA26" s="308">
        <f>'Проверочная  таблица'!AG27+'Проверочная  таблица'!T27+'Проверочная  таблица'!L27</f>
        <v>43872784</v>
      </c>
      <c r="AB26" s="309">
        <f>'Проверочная  таблица'!CY27+'Проверочная  таблица'!DG27+'Проверочная  таблица'!CQ27+'Проверочная  таблица'!QY27+'Проверочная  таблица'!KE27+'Проверочная  таблица'!IK27+'Проверочная  таблица'!LY27+'Проверочная  таблица'!BM27+'Проверочная  таблица'!HE27+'Проверочная  таблица'!GE27+'Проверочная  таблица'!NA27+'Проверочная  таблица'!PG27+'Проверочная  таблица'!QM27</f>
        <v>48943062.210000001</v>
      </c>
      <c r="AC26" s="310"/>
      <c r="AD26" s="312">
        <f>'Проверочная  таблица'!VO27+'Проверочная  таблица'!TI27+'Проверочная  таблица'!TY27</f>
        <v>70957277.549999997</v>
      </c>
      <c r="AE26" s="311"/>
      <c r="AF26" s="26">
        <f>'Проверочная  таблица'!C27</f>
        <v>737399571.73000014</v>
      </c>
      <c r="AG26" s="21">
        <f>'Проверочная  таблица'!E27</f>
        <v>214514527.43000001</v>
      </c>
      <c r="AH26" s="213">
        <f>'Проверочная  таблица'!AJ27</f>
        <v>67343475.459999993</v>
      </c>
      <c r="AI26" s="20">
        <f>'Проверочная  таблица'!RD27</f>
        <v>388181859.75</v>
      </c>
      <c r="AJ26" s="25">
        <f>'Проверочная  таблица'!SL27</f>
        <v>67359709.090000004</v>
      </c>
      <c r="AK26" s="26"/>
      <c r="AL26" s="22">
        <f t="shared" si="17"/>
        <v>548874667.62000012</v>
      </c>
      <c r="AM26" s="23">
        <f t="shared" si="18"/>
        <v>97680184</v>
      </c>
      <c r="AN26" s="22">
        <f t="shared" si="19"/>
        <v>34833481.449999996</v>
      </c>
      <c r="AO26" s="23">
        <f t="shared" si="20"/>
        <v>386158884.75</v>
      </c>
      <c r="AP26" s="23">
        <f t="shared" si="21"/>
        <v>30202117.420000002</v>
      </c>
      <c r="AQ26" s="22"/>
      <c r="AR26" s="24">
        <f t="shared" si="22"/>
        <v>188524904.11000001</v>
      </c>
      <c r="AS26" s="24">
        <f>'Проверочная  таблица'!Q27+'Проверочная  таблица'!AB27+'Проверочная  таблица'!I27</f>
        <v>116834343.43000001</v>
      </c>
      <c r="AT26" s="23">
        <f>'Проверочная  таблица'!QV27+'Проверочная  таблица'!DD27+'Проверочная  таблица'!CV27+'Проверочная  таблица'!CJ27+'Проверочная  таблица'!JP27+'Проверочная  таблица'!HZ27+'Проверочная  таблица'!LM27+'Проверочная  таблица'!BA27+'Проверочная  таблица'!GV27+'Проверочная  таблица'!FZ27+'Проверочная  таблица'!ML27+'Проверочная  таблица'!OL27+'Проверочная  таблица'!QD27</f>
        <v>32509994.009999998</v>
      </c>
      <c r="AU26" s="22">
        <f>'Проверочная  таблица'!RN27</f>
        <v>2022975</v>
      </c>
      <c r="AV26" s="23">
        <f>'Проверочная  таблица'!VF27+'Проверочная  таблица'!TE27+'Проверочная  таблица'!TT27</f>
        <v>37157591.670000002</v>
      </c>
      <c r="AW26" s="26"/>
      <c r="AX26" s="308">
        <f t="shared" si="23"/>
        <v>92417542.690000013</v>
      </c>
      <c r="AY26" s="308">
        <f t="shared" si="24"/>
        <v>82729105.330000013</v>
      </c>
      <c r="AZ26" s="309">
        <f t="shared" si="2"/>
        <v>1538450.7199999988</v>
      </c>
      <c r="BA26" s="310">
        <f t="shared" si="3"/>
        <v>2022975</v>
      </c>
      <c r="BB26" s="309">
        <f t="shared" si="4"/>
        <v>6127011.6400000006</v>
      </c>
      <c r="BC26" s="311"/>
      <c r="BD26" s="310">
        <f t="shared" si="25"/>
        <v>96107361.420000002</v>
      </c>
      <c r="BE26" s="309">
        <f>'Проверочная  таблица'!M27+'Проверочная  таблица'!U27+'Проверочная  таблица'!AH27</f>
        <v>34105238.100000001</v>
      </c>
      <c r="BF26" s="310">
        <f>'Проверочная  таблица'!CZ27+'Проверочная  таблица'!DH27+'Проверочная  таблица'!CR27+'Проверочная  таблица'!QZ27+'Проверочная  таблица'!KJ27+'Проверочная  таблица'!IN27+'Проверочная  таблица'!MC27+'Проверочная  таблица'!BQ27+'Проверочная  таблица'!HH27+'Проверочная  таблица'!GF27+'Проверочная  таблица'!NF27+'Проверочная  таблица'!PN27+'Проверочная  таблица'!QP27</f>
        <v>30971543.289999999</v>
      </c>
      <c r="BG26" s="308"/>
      <c r="BH26" s="312">
        <f>'Проверочная  таблица'!VR27+'Проверочная  таблица'!TJ27+'Проверочная  таблица'!TZ27</f>
        <v>31030580.030000001</v>
      </c>
      <c r="BI26" s="311"/>
    </row>
    <row r="27" spans="1:61" ht="21.75" customHeight="1" x14ac:dyDescent="0.25">
      <c r="A27" s="19" t="s">
        <v>95</v>
      </c>
      <c r="B27" s="20">
        <f>'Проверочная  таблица'!B28</f>
        <v>740442271.96999991</v>
      </c>
      <c r="C27" s="21">
        <f>'Проверочная  таблица'!D28</f>
        <v>152586566</v>
      </c>
      <c r="D27" s="213">
        <f>'Проверочная  таблица'!AI28</f>
        <v>335666534.06</v>
      </c>
      <c r="E27" s="20">
        <f>'Проверочная  таблица'!RA28</f>
        <v>234664783.50999999</v>
      </c>
      <c r="F27" s="26">
        <f>'Проверочная  таблица'!SK28</f>
        <v>17524388.399999999</v>
      </c>
      <c r="G27" s="26"/>
      <c r="H27" s="22">
        <f t="shared" si="5"/>
        <v>675508425.88999987</v>
      </c>
      <c r="I27" s="23">
        <f t="shared" si="6"/>
        <v>98621803</v>
      </c>
      <c r="J27" s="22">
        <f t="shared" si="7"/>
        <v>329531187.49000001</v>
      </c>
      <c r="K27" s="23">
        <f t="shared" si="8"/>
        <v>233155783.50999999</v>
      </c>
      <c r="L27" s="23">
        <f t="shared" si="9"/>
        <v>14199651.889999999</v>
      </c>
      <c r="M27" s="22"/>
      <c r="N27" s="24">
        <f t="shared" si="10"/>
        <v>64933846.079999998</v>
      </c>
      <c r="O27" s="23">
        <f>'Проверочная  таблица'!P28+'Проверочная  таблица'!AA28+'Проверочная  таблица'!H28</f>
        <v>53964763</v>
      </c>
      <c r="P27" s="22">
        <f>'Проверочная  таблица'!CE28+'Проверочная  таблица'!CU28+'Проверочная  таблица'!DC28+'Проверочная  таблица'!JK28+'Проверочная  таблица'!LI28+'Проверочная  таблица'!HW28+'Проверочная  таблица'!QU28+'Проверочная  таблица'!AW28+'Проверочная  таблица'!GS28+'Проверочная  таблица'!FW28+'Проверочная  таблица'!MG28+'Проверочная  таблица'!OE28+'Проверочная  таблица'!QA28</f>
        <v>6135346.5700000003</v>
      </c>
      <c r="Q27" s="24">
        <f>'Проверочная  таблица'!RM28</f>
        <v>1509000</v>
      </c>
      <c r="R27" s="20">
        <f>'Проверочная  таблица'!VC28+'Проверочная  таблица'!TC28+'Проверочная  таблица'!TQ28</f>
        <v>3324736.5100000002</v>
      </c>
      <c r="S27" s="25"/>
      <c r="T27" s="308">
        <f t="shared" si="11"/>
        <v>64933846.079999998</v>
      </c>
      <c r="U27" s="308">
        <f t="shared" si="12"/>
        <v>53964763</v>
      </c>
      <c r="V27" s="309">
        <f t="shared" si="13"/>
        <v>6135346.5700000003</v>
      </c>
      <c r="W27" s="310">
        <f t="shared" si="14"/>
        <v>1509000</v>
      </c>
      <c r="X27" s="309">
        <f t="shared" si="15"/>
        <v>3324736.5100000002</v>
      </c>
      <c r="Y27" s="311"/>
      <c r="Z27" s="310">
        <f t="shared" si="16"/>
        <v>0</v>
      </c>
      <c r="AA27" s="308">
        <f>'Проверочная  таблица'!AG28+'Проверочная  таблица'!T28+'Проверочная  таблица'!L28</f>
        <v>0</v>
      </c>
      <c r="AB27" s="309">
        <f>'Проверочная  таблица'!CY28+'Проверочная  таблица'!DG28+'Проверочная  таблица'!CQ28+'Проверочная  таблица'!QY28+'Проверочная  таблица'!KE28+'Проверочная  таблица'!IK28+'Проверочная  таблица'!LY28+'Проверочная  таблица'!BM28+'Проверочная  таблица'!HE28+'Проверочная  таблица'!GE28+'Проверочная  таблица'!NA28+'Проверочная  таблица'!PG28+'Проверочная  таблица'!QM28</f>
        <v>0</v>
      </c>
      <c r="AC27" s="310"/>
      <c r="AD27" s="312">
        <f>'Проверочная  таблица'!VO28+'Проверочная  таблица'!TI28+'Проверочная  таблица'!TY28</f>
        <v>0</v>
      </c>
      <c r="AE27" s="311"/>
      <c r="AF27" s="26">
        <f>'Проверочная  таблица'!C28</f>
        <v>484709184.74000007</v>
      </c>
      <c r="AG27" s="21">
        <f>'Проверочная  таблица'!E28</f>
        <v>129110366</v>
      </c>
      <c r="AH27" s="213">
        <f>'Проверочная  таблица'!AJ28</f>
        <v>143379763.82000002</v>
      </c>
      <c r="AI27" s="20">
        <f>'Проверочная  таблица'!RD28</f>
        <v>200963238.22</v>
      </c>
      <c r="AJ27" s="25">
        <f>'Проверочная  таблица'!SL28</f>
        <v>11255816.699999999</v>
      </c>
      <c r="AK27" s="26"/>
      <c r="AL27" s="22">
        <f t="shared" si="17"/>
        <v>435359749.19000006</v>
      </c>
      <c r="AM27" s="23">
        <f t="shared" si="18"/>
        <v>85509503</v>
      </c>
      <c r="AN27" s="22">
        <f t="shared" si="19"/>
        <v>141908060.27000001</v>
      </c>
      <c r="AO27" s="23">
        <f t="shared" si="20"/>
        <v>200011105.72999999</v>
      </c>
      <c r="AP27" s="23">
        <f t="shared" si="21"/>
        <v>7931080.1899999995</v>
      </c>
      <c r="AQ27" s="22"/>
      <c r="AR27" s="24">
        <f t="shared" si="22"/>
        <v>49349435.549999997</v>
      </c>
      <c r="AS27" s="24">
        <f>'Проверочная  таблица'!Q28+'Проверочная  таблица'!AB28+'Проверочная  таблица'!I28</f>
        <v>43600863</v>
      </c>
      <c r="AT27" s="23">
        <f>'Проверочная  таблица'!QV28+'Проверочная  таблица'!DD28+'Проверочная  таблица'!CV28+'Проверочная  таблица'!CJ28+'Проверочная  таблица'!JP28+'Проверочная  таблица'!HZ28+'Проверочная  таблица'!LM28+'Проверочная  таблица'!BA28+'Проверочная  таблица'!GV28+'Проверочная  таблица'!FZ28+'Проверочная  таблица'!ML28+'Проверочная  таблица'!OL28+'Проверочная  таблица'!QD28</f>
        <v>1471703.55</v>
      </c>
      <c r="AU27" s="22">
        <f>'Проверочная  таблица'!RN28</f>
        <v>952132.49000000011</v>
      </c>
      <c r="AV27" s="23">
        <f>'Проверочная  таблица'!VF28+'Проверочная  таблица'!TE28+'Проверочная  таблица'!TT28</f>
        <v>3324736.5100000002</v>
      </c>
      <c r="AW27" s="26"/>
      <c r="AX27" s="308">
        <f t="shared" si="23"/>
        <v>49349435.549999997</v>
      </c>
      <c r="AY27" s="308">
        <f t="shared" si="24"/>
        <v>43600863</v>
      </c>
      <c r="AZ27" s="309">
        <f t="shared" si="2"/>
        <v>1471703.55</v>
      </c>
      <c r="BA27" s="310">
        <f t="shared" si="3"/>
        <v>952132.49000000011</v>
      </c>
      <c r="BB27" s="309">
        <f t="shared" si="4"/>
        <v>3324736.5100000002</v>
      </c>
      <c r="BC27" s="311"/>
      <c r="BD27" s="310">
        <f t="shared" si="25"/>
        <v>0</v>
      </c>
      <c r="BE27" s="309">
        <f>'Проверочная  таблица'!M28+'Проверочная  таблица'!U28+'Проверочная  таблица'!AH28</f>
        <v>0</v>
      </c>
      <c r="BF27" s="310">
        <f>'Проверочная  таблица'!CZ28+'Проверочная  таблица'!DH28+'Проверочная  таблица'!CR28+'Проверочная  таблица'!QZ28+'Проверочная  таблица'!KJ28+'Проверочная  таблица'!IN28+'Проверочная  таблица'!MC28+'Проверочная  таблица'!BQ28+'Проверочная  таблица'!HH28+'Проверочная  таблица'!GF28+'Проверочная  таблица'!NF28+'Проверочная  таблица'!PN28+'Проверочная  таблица'!QP28</f>
        <v>0</v>
      </c>
      <c r="BG27" s="308"/>
      <c r="BH27" s="312">
        <f>'Проверочная  таблица'!VR28+'Проверочная  таблица'!TJ28+'Проверочная  таблица'!TZ28</f>
        <v>0</v>
      </c>
      <c r="BI27" s="311"/>
    </row>
    <row r="28" spans="1:61" ht="21.75" customHeight="1" thickBot="1" x14ac:dyDescent="0.3">
      <c r="A28" s="28" t="s">
        <v>96</v>
      </c>
      <c r="B28" s="29">
        <f>'Проверочная  таблица'!B29</f>
        <v>640175070.28999996</v>
      </c>
      <c r="C28" s="30">
        <f>'Проверочная  таблица'!D29</f>
        <v>90564238</v>
      </c>
      <c r="D28" s="214">
        <f>'Проверочная  таблица'!AI29</f>
        <v>125930936.57000001</v>
      </c>
      <c r="E28" s="29">
        <f>'Проверочная  таблица'!RA29</f>
        <v>348953205.43999994</v>
      </c>
      <c r="F28" s="35">
        <f>'Проверочная  таблица'!SK29</f>
        <v>74726690.280000001</v>
      </c>
      <c r="G28" s="35"/>
      <c r="H28" s="31">
        <f t="shared" si="5"/>
        <v>484987294.09999996</v>
      </c>
      <c r="I28" s="32">
        <f t="shared" si="6"/>
        <v>6560171</v>
      </c>
      <c r="J28" s="31">
        <f t="shared" si="7"/>
        <v>98446163.050000012</v>
      </c>
      <c r="K28" s="32">
        <f t="shared" si="8"/>
        <v>346865205.43999994</v>
      </c>
      <c r="L28" s="32">
        <f t="shared" si="9"/>
        <v>33115754.609999999</v>
      </c>
      <c r="M28" s="31"/>
      <c r="N28" s="33">
        <f t="shared" si="10"/>
        <v>155187776.19</v>
      </c>
      <c r="O28" s="32">
        <f>'Проверочная  таблица'!P29+'Проверочная  таблица'!AA29+'Проверочная  таблица'!H29</f>
        <v>84004067</v>
      </c>
      <c r="P28" s="22">
        <f>'Проверочная  таблица'!CE29+'Проверочная  таблица'!CU29+'Проверочная  таблица'!DC29+'Проверочная  таблица'!JK29+'Проверочная  таблица'!LI29+'Проверочная  таблица'!HW29+'Проверочная  таблица'!QU29+'Проверочная  таблица'!AW29+'Проверочная  таблица'!GS29+'Проверочная  таблица'!FW29+'Проверочная  таблица'!MG29+'Проверочная  таблица'!OE29+'Проверочная  таблица'!QA29</f>
        <v>27484773.52</v>
      </c>
      <c r="Q28" s="33">
        <f>'Проверочная  таблица'!RM29</f>
        <v>2088000</v>
      </c>
      <c r="R28" s="29">
        <f>'Проверочная  таблица'!VC29+'Проверочная  таблица'!TC29+'Проверочная  таблица'!TQ29</f>
        <v>41610935.670000002</v>
      </c>
      <c r="S28" s="34"/>
      <c r="T28" s="313">
        <f t="shared" si="11"/>
        <v>89339651.950000003</v>
      </c>
      <c r="U28" s="313">
        <f t="shared" si="12"/>
        <v>72622713</v>
      </c>
      <c r="V28" s="314">
        <f t="shared" si="13"/>
        <v>9995667.2800000012</v>
      </c>
      <c r="W28" s="315">
        <f t="shared" si="14"/>
        <v>2088000</v>
      </c>
      <c r="X28" s="314">
        <f t="shared" si="15"/>
        <v>4633271.6700000018</v>
      </c>
      <c r="Y28" s="316"/>
      <c r="Z28" s="315">
        <f t="shared" si="16"/>
        <v>65848124.240000002</v>
      </c>
      <c r="AA28" s="313">
        <f>'Проверочная  таблица'!AG29+'Проверочная  таблица'!T29+'Проверочная  таблица'!L29</f>
        <v>11381354.000000002</v>
      </c>
      <c r="AB28" s="314">
        <f>'Проверочная  таблица'!CY29+'Проверочная  таблица'!DG29+'Проверочная  таблица'!CQ29+'Проверочная  таблица'!QY29+'Проверочная  таблица'!KE29+'Проверочная  таблица'!IK29+'Проверочная  таблица'!LY29+'Проверочная  таблица'!BM29+'Проверочная  таблица'!HE29+'Проверочная  таблица'!GE29+'Проверочная  таблица'!NA29+'Проверочная  таблица'!PG29+'Проверочная  таблица'!QM29</f>
        <v>17489106.239999998</v>
      </c>
      <c r="AC28" s="315"/>
      <c r="AD28" s="317">
        <f>'Проверочная  таблица'!VO29+'Проверочная  таблица'!TI29+'Проверочная  таблица'!TY29</f>
        <v>36977664</v>
      </c>
      <c r="AE28" s="316"/>
      <c r="AF28" s="35">
        <f>'Проверочная  таблица'!C29</f>
        <v>430925044.05000001</v>
      </c>
      <c r="AG28" s="30">
        <f>'Проверочная  таблица'!E29</f>
        <v>71616636</v>
      </c>
      <c r="AH28" s="214">
        <f>'Проверочная  таблица'!AJ29</f>
        <v>47693873.800000004</v>
      </c>
      <c r="AI28" s="29">
        <f>'Проверочная  таблица'!RD29</f>
        <v>264091289.81</v>
      </c>
      <c r="AJ28" s="34">
        <f>'Проверочная  таблица'!SL29</f>
        <v>47523244.439999998</v>
      </c>
      <c r="AK28" s="35"/>
      <c r="AL28" s="31">
        <f t="shared" si="17"/>
        <v>320939801.08000004</v>
      </c>
      <c r="AM28" s="32">
        <f t="shared" si="18"/>
        <v>4060200</v>
      </c>
      <c r="AN28" s="31">
        <f t="shared" si="19"/>
        <v>32610599.330000006</v>
      </c>
      <c r="AO28" s="32">
        <f t="shared" si="20"/>
        <v>262780596.97999999</v>
      </c>
      <c r="AP28" s="32">
        <f t="shared" si="21"/>
        <v>21488404.769999996</v>
      </c>
      <c r="AQ28" s="31"/>
      <c r="AR28" s="33">
        <f t="shared" si="22"/>
        <v>109985242.97</v>
      </c>
      <c r="AS28" s="33">
        <f>'Проверочная  таблица'!Q29+'Проверочная  таблица'!AB29+'Проверочная  таблица'!I29</f>
        <v>67556436</v>
      </c>
      <c r="AT28" s="32">
        <f>'Проверочная  таблица'!QV29+'Проверочная  таблица'!DD29+'Проверочная  таблица'!CV29+'Проверочная  таблица'!CJ29+'Проверочная  таблица'!JP29+'Проверочная  таблица'!HZ29+'Проверочная  таблица'!LM29+'Проверочная  таблица'!BA29+'Проверочная  таблица'!GV29+'Проверочная  таблица'!FZ29+'Проверочная  таблица'!ML29+'Проверочная  таблица'!OL29+'Проверочная  таблица'!QD29</f>
        <v>15083274.469999999</v>
      </c>
      <c r="AU28" s="31">
        <f>'Проверочная  таблица'!RN29</f>
        <v>1310692.8299999998</v>
      </c>
      <c r="AV28" s="32">
        <f>'Проверочная  таблица'!VF29+'Проверочная  таблица'!TE29+'Проверочная  таблица'!TT29</f>
        <v>26034839.670000002</v>
      </c>
      <c r="AW28" s="35"/>
      <c r="AX28" s="313">
        <f t="shared" si="23"/>
        <v>65328612.200000003</v>
      </c>
      <c r="AY28" s="313">
        <f t="shared" si="24"/>
        <v>56530479</v>
      </c>
      <c r="AZ28" s="314">
        <f t="shared" si="2"/>
        <v>2854168.6999999993</v>
      </c>
      <c r="BA28" s="315">
        <f t="shared" si="3"/>
        <v>1310692.8299999998</v>
      </c>
      <c r="BB28" s="314">
        <f t="shared" si="4"/>
        <v>4633271.6700000018</v>
      </c>
      <c r="BC28" s="316"/>
      <c r="BD28" s="315">
        <f t="shared" si="25"/>
        <v>44656630.769999996</v>
      </c>
      <c r="BE28" s="314">
        <f>'Проверочная  таблица'!M29+'Проверочная  таблица'!U29+'Проверочная  таблица'!AH29</f>
        <v>11025957</v>
      </c>
      <c r="BF28" s="310">
        <f>'Проверочная  таблица'!CZ29+'Проверочная  таблица'!DH29+'Проверочная  таблица'!CR29+'Проверочная  таблица'!QZ29+'Проверочная  таблица'!KJ29+'Проверочная  таблица'!IN29+'Проверочная  таблица'!MC29+'Проверочная  таблица'!BQ29+'Проверочная  таблица'!HH29+'Проверочная  таблица'!GF29+'Проверочная  таблица'!NF29+'Проверочная  таблица'!PN29+'Проверочная  таблица'!QP29</f>
        <v>12229105.77</v>
      </c>
      <c r="BG28" s="313"/>
      <c r="BH28" s="317">
        <f>'Проверочная  таблица'!VR29+'Проверочная  таблица'!TJ29+'Проверочная  таблица'!TZ29</f>
        <v>21401568</v>
      </c>
      <c r="BI28" s="316"/>
    </row>
    <row r="29" spans="1:61" ht="21.75" customHeight="1" thickBot="1" x14ac:dyDescent="0.3">
      <c r="A29" s="36" t="s">
        <v>104</v>
      </c>
      <c r="B29" s="37">
        <f t="shared" ref="B29:AW29" si="26">SUM(B11:B28)</f>
        <v>13239397418.73</v>
      </c>
      <c r="C29" s="38">
        <f t="shared" si="26"/>
        <v>2776717739</v>
      </c>
      <c r="D29" s="215">
        <f>SUM(D11:D28)</f>
        <v>3335496971.8099999</v>
      </c>
      <c r="E29" s="37">
        <f t="shared" si="26"/>
        <v>6204598026.7299995</v>
      </c>
      <c r="F29" s="37">
        <f t="shared" si="26"/>
        <v>922584681.18999994</v>
      </c>
      <c r="G29" s="37">
        <f t="shared" si="26"/>
        <v>0</v>
      </c>
      <c r="H29" s="39">
        <f t="shared" si="26"/>
        <v>10597019594.839998</v>
      </c>
      <c r="I29" s="37">
        <f>SUM(I11:I28)</f>
        <v>1314504451</v>
      </c>
      <c r="J29" s="38">
        <f>SUM(J11:J28)</f>
        <v>2581102048.4500008</v>
      </c>
      <c r="K29" s="40">
        <f t="shared" si="26"/>
        <v>6172522026.7299995</v>
      </c>
      <c r="L29" s="37">
        <f t="shared" si="26"/>
        <v>528891068.65999997</v>
      </c>
      <c r="M29" s="38">
        <f t="shared" si="26"/>
        <v>0</v>
      </c>
      <c r="N29" s="157">
        <f t="shared" si="26"/>
        <v>2642377823.8899999</v>
      </c>
      <c r="O29" s="38">
        <f t="shared" si="26"/>
        <v>1462213288</v>
      </c>
      <c r="P29" s="157">
        <f>SUM(P11:P28)</f>
        <v>754394923.36000001</v>
      </c>
      <c r="Q29" s="38">
        <f t="shared" si="26"/>
        <v>32076000</v>
      </c>
      <c r="R29" s="37">
        <f t="shared" si="26"/>
        <v>393693612.52999991</v>
      </c>
      <c r="S29" s="37">
        <f t="shared" si="26"/>
        <v>0</v>
      </c>
      <c r="T29" s="318">
        <f t="shared" ref="T29:AE29" si="27">SUM(T11:T28)</f>
        <v>1607397347.01</v>
      </c>
      <c r="U29" s="319">
        <f t="shared" si="27"/>
        <v>1188432116</v>
      </c>
      <c r="V29" s="320">
        <f t="shared" si="27"/>
        <v>273506207.26999998</v>
      </c>
      <c r="W29" s="319">
        <f t="shared" si="27"/>
        <v>32076000</v>
      </c>
      <c r="X29" s="320">
        <f t="shared" si="27"/>
        <v>113383023.74000001</v>
      </c>
      <c r="Y29" s="321">
        <f t="shared" si="27"/>
        <v>0</v>
      </c>
      <c r="Z29" s="318">
        <f t="shared" si="27"/>
        <v>1034980476.88</v>
      </c>
      <c r="AA29" s="319">
        <f t="shared" si="27"/>
        <v>273781172</v>
      </c>
      <c r="AB29" s="320">
        <f t="shared" si="27"/>
        <v>480888716.08999997</v>
      </c>
      <c r="AC29" s="319">
        <f t="shared" si="27"/>
        <v>0</v>
      </c>
      <c r="AD29" s="320">
        <f t="shared" si="27"/>
        <v>280310588.79000002</v>
      </c>
      <c r="AE29" s="321">
        <f t="shared" si="27"/>
        <v>0</v>
      </c>
      <c r="AF29" s="37">
        <f t="shared" si="26"/>
        <v>9355208447.0800018</v>
      </c>
      <c r="AG29" s="38">
        <f t="shared" si="26"/>
        <v>2213004232.8600001</v>
      </c>
      <c r="AH29" s="215">
        <f>SUM(AH11:AH28)</f>
        <v>1776677443.1199999</v>
      </c>
      <c r="AI29" s="37">
        <f t="shared" si="26"/>
        <v>4740866801.21</v>
      </c>
      <c r="AJ29" s="37">
        <f t="shared" si="26"/>
        <v>624659969.8900001</v>
      </c>
      <c r="AK29" s="37">
        <f t="shared" si="26"/>
        <v>0</v>
      </c>
      <c r="AL29" s="39">
        <f t="shared" si="26"/>
        <v>7468746414.4499989</v>
      </c>
      <c r="AM29" s="40">
        <f>SUM(AM11:AM28)</f>
        <v>1047310014.9400001</v>
      </c>
      <c r="AN29" s="39">
        <f>SUM(AN11:AN28)</f>
        <v>1347079353.4499998</v>
      </c>
      <c r="AO29" s="40">
        <f t="shared" si="26"/>
        <v>4720014110.5099993</v>
      </c>
      <c r="AP29" s="37">
        <f t="shared" si="26"/>
        <v>354342935.55000001</v>
      </c>
      <c r="AQ29" s="38">
        <f t="shared" si="26"/>
        <v>0</v>
      </c>
      <c r="AR29" s="40">
        <f t="shared" si="26"/>
        <v>1886462032.6299996</v>
      </c>
      <c r="AS29" s="39">
        <f t="shared" si="26"/>
        <v>1165694217.9200001</v>
      </c>
      <c r="AT29" s="215">
        <f>SUM(AT11:AT28)</f>
        <v>429598089.67000008</v>
      </c>
      <c r="AU29" s="37">
        <f t="shared" si="26"/>
        <v>20852690.699999999</v>
      </c>
      <c r="AV29" s="37">
        <f t="shared" si="26"/>
        <v>270317034.33999997</v>
      </c>
      <c r="AW29" s="37">
        <f t="shared" si="26"/>
        <v>0</v>
      </c>
      <c r="AX29" s="318">
        <f t="shared" ref="AX29:BI29" si="28">SUM(AX11:AX28)</f>
        <v>1131474784.1700001</v>
      </c>
      <c r="AY29" s="319">
        <f t="shared" si="28"/>
        <v>934834898.82000005</v>
      </c>
      <c r="AZ29" s="320">
        <f t="shared" si="28"/>
        <v>78815605.269999951</v>
      </c>
      <c r="BA29" s="319">
        <f t="shared" si="28"/>
        <v>20852690.699999999</v>
      </c>
      <c r="BB29" s="320">
        <f t="shared" si="28"/>
        <v>96971589.380000025</v>
      </c>
      <c r="BC29" s="321">
        <f t="shared" si="28"/>
        <v>0</v>
      </c>
      <c r="BD29" s="318">
        <f t="shared" si="28"/>
        <v>754987248.45999992</v>
      </c>
      <c r="BE29" s="319">
        <f t="shared" si="28"/>
        <v>230859319.09999999</v>
      </c>
      <c r="BF29" s="318">
        <f t="shared" si="28"/>
        <v>350782484.40000004</v>
      </c>
      <c r="BG29" s="319">
        <f t="shared" si="28"/>
        <v>0</v>
      </c>
      <c r="BH29" s="320">
        <f t="shared" si="28"/>
        <v>173345444.95999998</v>
      </c>
      <c r="BI29" s="320">
        <f t="shared" si="28"/>
        <v>0</v>
      </c>
    </row>
    <row r="30" spans="1:61" ht="21.75" customHeight="1" x14ac:dyDescent="0.25">
      <c r="A30" s="41"/>
      <c r="B30" s="41"/>
      <c r="C30" s="42"/>
      <c r="D30" s="41"/>
      <c r="E30" s="42"/>
      <c r="F30" s="41"/>
      <c r="G30" s="41"/>
      <c r="H30" s="43"/>
      <c r="I30" s="44"/>
      <c r="J30" s="43"/>
      <c r="K30" s="44"/>
      <c r="L30" s="46"/>
      <c r="M30" s="45"/>
      <c r="N30" s="46"/>
      <c r="O30" s="47"/>
      <c r="P30" s="723"/>
      <c r="Q30" s="47"/>
      <c r="R30" s="41"/>
      <c r="S30" s="46"/>
      <c r="T30" s="322"/>
      <c r="U30" s="323"/>
      <c r="V30" s="324"/>
      <c r="W30" s="323"/>
      <c r="X30" s="325"/>
      <c r="Y30" s="322"/>
      <c r="Z30" s="322"/>
      <c r="AA30" s="323"/>
      <c r="AB30" s="324"/>
      <c r="AC30" s="323"/>
      <c r="AD30" s="325"/>
      <c r="AE30" s="322"/>
      <c r="AF30" s="41"/>
      <c r="AG30" s="42"/>
      <c r="AH30" s="27"/>
      <c r="AI30" s="41"/>
      <c r="AJ30" s="41"/>
      <c r="AK30" s="41"/>
      <c r="AL30" s="43"/>
      <c r="AM30" s="44"/>
      <c r="AN30" s="43"/>
      <c r="AO30" s="44"/>
      <c r="AP30" s="41"/>
      <c r="AQ30" s="42"/>
      <c r="AR30" s="44"/>
      <c r="AS30" s="43"/>
      <c r="AT30" s="44"/>
      <c r="AU30" s="43"/>
      <c r="AV30" s="41"/>
      <c r="AW30" s="41"/>
      <c r="AX30" s="322"/>
      <c r="AY30" s="323"/>
      <c r="AZ30" s="324"/>
      <c r="BA30" s="323"/>
      <c r="BB30" s="325"/>
      <c r="BC30" s="322"/>
      <c r="BD30" s="322"/>
      <c r="BE30" s="323"/>
      <c r="BF30" s="324"/>
      <c r="BG30" s="323"/>
      <c r="BH30" s="325"/>
      <c r="BI30" s="322"/>
    </row>
    <row r="31" spans="1:61" ht="21.75" customHeight="1" x14ac:dyDescent="0.25">
      <c r="A31" s="48" t="s">
        <v>5</v>
      </c>
      <c r="B31" s="20">
        <f>'Проверочная  таблица'!B32</f>
        <v>1892044052.3600001</v>
      </c>
      <c r="C31" s="21">
        <f>'Проверочная  таблица'!D32</f>
        <v>353075140</v>
      </c>
      <c r="D31" s="20">
        <f>'Проверочная  таблица'!AI32</f>
        <v>502198511.82000005</v>
      </c>
      <c r="E31" s="21">
        <f>'Проверочная  таблица'!RA32</f>
        <v>927640242.67000008</v>
      </c>
      <c r="F31" s="20">
        <f>'Проверочная  таблица'!SK32</f>
        <v>109130157.87</v>
      </c>
      <c r="G31" s="20"/>
      <c r="H31" s="22">
        <f t="shared" ref="H31:M32" si="29">B31-N31</f>
        <v>1892044052.3600001</v>
      </c>
      <c r="I31" s="23">
        <f t="shared" si="29"/>
        <v>353075140</v>
      </c>
      <c r="J31" s="22">
        <f t="shared" si="29"/>
        <v>502198511.82000005</v>
      </c>
      <c r="K31" s="23">
        <f t="shared" si="29"/>
        <v>927640242.67000008</v>
      </c>
      <c r="L31" s="23">
        <f t="shared" si="29"/>
        <v>109130157.87</v>
      </c>
      <c r="M31" s="22">
        <f t="shared" si="29"/>
        <v>0</v>
      </c>
      <c r="N31" s="23"/>
      <c r="O31" s="23"/>
      <c r="P31" s="22"/>
      <c r="Q31" s="24"/>
      <c r="R31" s="20"/>
      <c r="S31" s="23"/>
      <c r="T31" s="309"/>
      <c r="U31" s="310"/>
      <c r="V31" s="309"/>
      <c r="W31" s="310"/>
      <c r="X31" s="312"/>
      <c r="Y31" s="309"/>
      <c r="Z31" s="309"/>
      <c r="AA31" s="310"/>
      <c r="AB31" s="309"/>
      <c r="AC31" s="310"/>
      <c r="AD31" s="312"/>
      <c r="AE31" s="309"/>
      <c r="AF31" s="20">
        <f>'Проверочная  таблица'!C32</f>
        <v>1293499202.4100001</v>
      </c>
      <c r="AG31" s="21">
        <f>'Проверочная  таблица'!E32</f>
        <v>205766298.71000001</v>
      </c>
      <c r="AH31" s="213">
        <f>'Проверочная  таблица'!AJ32</f>
        <v>315671141.85000002</v>
      </c>
      <c r="AI31" s="20">
        <f>'Проверочная  таблица'!RD32</f>
        <v>677011459.71999991</v>
      </c>
      <c r="AJ31" s="23">
        <f>'Проверочная  таблица'!SL32</f>
        <v>95050302.13000001</v>
      </c>
      <c r="AK31" s="20"/>
      <c r="AL31" s="22">
        <f t="shared" ref="AL31:AP32" si="30">AF31-AR31</f>
        <v>1293499202.4100001</v>
      </c>
      <c r="AM31" s="23">
        <f t="shared" si="30"/>
        <v>205766298.71000001</v>
      </c>
      <c r="AN31" s="22">
        <f t="shared" si="30"/>
        <v>315671141.85000002</v>
      </c>
      <c r="AO31" s="23">
        <f t="shared" si="30"/>
        <v>677011459.71999991</v>
      </c>
      <c r="AP31" s="23">
        <f t="shared" si="30"/>
        <v>95050302.13000001</v>
      </c>
      <c r="AQ31" s="22"/>
      <c r="AR31" s="23"/>
      <c r="AS31" s="22"/>
      <c r="AT31" s="23"/>
      <c r="AU31" s="22"/>
      <c r="AV31" s="23"/>
      <c r="AW31" s="20"/>
      <c r="AX31" s="309"/>
      <c r="AY31" s="310"/>
      <c r="AZ31" s="309"/>
      <c r="BA31" s="310"/>
      <c r="BB31" s="312"/>
      <c r="BC31" s="309"/>
      <c r="BD31" s="309"/>
      <c r="BE31" s="310"/>
      <c r="BF31" s="309"/>
      <c r="BG31" s="310"/>
      <c r="BH31" s="312"/>
      <c r="BI31" s="309"/>
    </row>
    <row r="32" spans="1:61" ht="21.75" customHeight="1" thickBot="1" x14ac:dyDescent="0.3">
      <c r="A32" s="41" t="s">
        <v>6</v>
      </c>
      <c r="B32" s="20">
        <f>'Проверочная  таблица'!B33</f>
        <v>9373061037.8899975</v>
      </c>
      <c r="C32" s="21">
        <f>'Проверочная  таблица'!D33</f>
        <v>1151228578</v>
      </c>
      <c r="D32" s="20">
        <f>'Проверочная  таблица'!AI33</f>
        <v>2196806472.5999999</v>
      </c>
      <c r="E32" s="21">
        <f>'Проверочная  таблица'!RA33</f>
        <v>5141766213.8199987</v>
      </c>
      <c r="F32" s="20">
        <f>'Проверочная  таблица'!SK33</f>
        <v>883259773.47000003</v>
      </c>
      <c r="G32" s="20"/>
      <c r="H32" s="22">
        <f t="shared" si="29"/>
        <v>9373061037.8899975</v>
      </c>
      <c r="I32" s="23">
        <f t="shared" si="29"/>
        <v>1151228578</v>
      </c>
      <c r="J32" s="22">
        <f t="shared" si="29"/>
        <v>2196806472.5999999</v>
      </c>
      <c r="K32" s="23">
        <f t="shared" si="29"/>
        <v>5141766213.8199987</v>
      </c>
      <c r="L32" s="23">
        <f t="shared" si="29"/>
        <v>883259773.47000003</v>
      </c>
      <c r="M32" s="22">
        <f t="shared" si="29"/>
        <v>0</v>
      </c>
      <c r="N32" s="23"/>
      <c r="O32" s="23"/>
      <c r="P32" s="22"/>
      <c r="Q32" s="24"/>
      <c r="R32" s="20"/>
      <c r="S32" s="23"/>
      <c r="T32" s="309"/>
      <c r="U32" s="310"/>
      <c r="V32" s="309"/>
      <c r="W32" s="310"/>
      <c r="X32" s="312"/>
      <c r="Y32" s="309"/>
      <c r="Z32" s="309"/>
      <c r="AA32" s="310"/>
      <c r="AB32" s="309"/>
      <c r="AC32" s="310"/>
      <c r="AD32" s="312"/>
      <c r="AE32" s="309"/>
      <c r="AF32" s="20">
        <f>'Проверочная  таблица'!C33</f>
        <v>6485638652.7999992</v>
      </c>
      <c r="AG32" s="21">
        <f>'Проверочная  таблица'!E33</f>
        <v>647287000</v>
      </c>
      <c r="AH32" s="213">
        <f>'Проверочная  таблица'!AJ33</f>
        <v>1297200401.2999997</v>
      </c>
      <c r="AI32" s="20">
        <f>'Проверочная  таблица'!RD33</f>
        <v>3743161219.9299998</v>
      </c>
      <c r="AJ32" s="23">
        <f>'Проверочная  таблица'!SL33</f>
        <v>797990031.56999993</v>
      </c>
      <c r="AK32" s="20"/>
      <c r="AL32" s="22">
        <f t="shared" si="30"/>
        <v>6485638652.7999992</v>
      </c>
      <c r="AM32" s="23">
        <f t="shared" si="30"/>
        <v>647287000</v>
      </c>
      <c r="AN32" s="22">
        <f t="shared" si="30"/>
        <v>1297200401.2999997</v>
      </c>
      <c r="AO32" s="23">
        <f t="shared" si="30"/>
        <v>3743161219.9299998</v>
      </c>
      <c r="AP32" s="23">
        <f t="shared" si="30"/>
        <v>797990031.56999993</v>
      </c>
      <c r="AQ32" s="22"/>
      <c r="AR32" s="23"/>
      <c r="AS32" s="22"/>
      <c r="AT32" s="23"/>
      <c r="AU32" s="22"/>
      <c r="AV32" s="23"/>
      <c r="AW32" s="20"/>
      <c r="AX32" s="309"/>
      <c r="AY32" s="310"/>
      <c r="AZ32" s="309"/>
      <c r="BA32" s="310"/>
      <c r="BB32" s="312"/>
      <c r="BC32" s="309"/>
      <c r="BD32" s="309"/>
      <c r="BE32" s="310"/>
      <c r="BF32" s="309"/>
      <c r="BG32" s="310"/>
      <c r="BH32" s="312"/>
      <c r="BI32" s="309"/>
    </row>
    <row r="33" spans="1:61" ht="21.75" customHeight="1" thickBot="1" x14ac:dyDescent="0.3">
      <c r="A33" s="36" t="s">
        <v>7</v>
      </c>
      <c r="B33" s="49">
        <f t="shared" ref="B33:AW33" si="31">SUM(B31:B32)</f>
        <v>11265105090.249998</v>
      </c>
      <c r="C33" s="50">
        <f t="shared" si="31"/>
        <v>1504303718</v>
      </c>
      <c r="D33" s="49">
        <f>SUM(D31:D32)</f>
        <v>2699004984.4200001</v>
      </c>
      <c r="E33" s="50">
        <f t="shared" si="31"/>
        <v>6069406456.4899988</v>
      </c>
      <c r="F33" s="49">
        <f t="shared" si="31"/>
        <v>992389931.34000003</v>
      </c>
      <c r="G33" s="49">
        <f t="shared" si="31"/>
        <v>0</v>
      </c>
      <c r="H33" s="50">
        <f t="shared" si="31"/>
        <v>11265105090.249998</v>
      </c>
      <c r="I33" s="49">
        <f>SUM(I31:I32)</f>
        <v>1504303718</v>
      </c>
      <c r="J33" s="50">
        <f>SUM(J31:J32)</f>
        <v>2699004984.4200001</v>
      </c>
      <c r="K33" s="49">
        <f t="shared" si="31"/>
        <v>6069406456.4899988</v>
      </c>
      <c r="L33" s="49">
        <f t="shared" si="31"/>
        <v>992389931.34000003</v>
      </c>
      <c r="M33" s="50">
        <f t="shared" si="31"/>
        <v>0</v>
      </c>
      <c r="N33" s="49">
        <f t="shared" si="31"/>
        <v>0</v>
      </c>
      <c r="O33" s="50">
        <f t="shared" si="31"/>
        <v>0</v>
      </c>
      <c r="P33" s="157">
        <f>SUM(P31:P32)</f>
        <v>0</v>
      </c>
      <c r="Q33" s="50">
        <f t="shared" si="31"/>
        <v>0</v>
      </c>
      <c r="R33" s="49">
        <f t="shared" si="31"/>
        <v>0</v>
      </c>
      <c r="S33" s="49">
        <f t="shared" si="31"/>
        <v>0</v>
      </c>
      <c r="T33" s="326">
        <f t="shared" ref="T33:AE33" si="32">SUM(T31:T32)</f>
        <v>0</v>
      </c>
      <c r="U33" s="327">
        <f t="shared" si="32"/>
        <v>0</v>
      </c>
      <c r="V33" s="326">
        <f t="shared" si="32"/>
        <v>0</v>
      </c>
      <c r="W33" s="327">
        <f t="shared" si="32"/>
        <v>0</v>
      </c>
      <c r="X33" s="326">
        <f t="shared" si="32"/>
        <v>0</v>
      </c>
      <c r="Y33" s="326">
        <f t="shared" si="32"/>
        <v>0</v>
      </c>
      <c r="Z33" s="326">
        <f t="shared" si="32"/>
        <v>0</v>
      </c>
      <c r="AA33" s="327">
        <f t="shared" si="32"/>
        <v>0</v>
      </c>
      <c r="AB33" s="326">
        <f t="shared" si="32"/>
        <v>0</v>
      </c>
      <c r="AC33" s="327">
        <f t="shared" si="32"/>
        <v>0</v>
      </c>
      <c r="AD33" s="326">
        <f t="shared" si="32"/>
        <v>0</v>
      </c>
      <c r="AE33" s="326">
        <f t="shared" si="32"/>
        <v>0</v>
      </c>
      <c r="AF33" s="49">
        <f t="shared" si="31"/>
        <v>7779137855.2099991</v>
      </c>
      <c r="AG33" s="50">
        <f t="shared" si="31"/>
        <v>853053298.71000004</v>
      </c>
      <c r="AH33" s="216">
        <f>SUM(AH31:AH32)</f>
        <v>1612871543.1499996</v>
      </c>
      <c r="AI33" s="157">
        <f t="shared" si="31"/>
        <v>4420172679.6499996</v>
      </c>
      <c r="AJ33" s="49">
        <f t="shared" si="31"/>
        <v>893040333.69999993</v>
      </c>
      <c r="AK33" s="49">
        <f t="shared" si="31"/>
        <v>0</v>
      </c>
      <c r="AL33" s="50">
        <f t="shared" si="31"/>
        <v>7779137855.2099991</v>
      </c>
      <c r="AM33" s="49">
        <f>SUM(AM31:AM32)</f>
        <v>853053298.71000004</v>
      </c>
      <c r="AN33" s="50">
        <f>SUM(AN31:AN32)</f>
        <v>1612871543.1499996</v>
      </c>
      <c r="AO33" s="49">
        <f t="shared" si="31"/>
        <v>4420172679.6499996</v>
      </c>
      <c r="AP33" s="49">
        <f t="shared" si="31"/>
        <v>893040333.69999993</v>
      </c>
      <c r="AQ33" s="50">
        <f t="shared" si="31"/>
        <v>0</v>
      </c>
      <c r="AR33" s="49">
        <f t="shared" si="31"/>
        <v>0</v>
      </c>
      <c r="AS33" s="50">
        <f t="shared" si="31"/>
        <v>0</v>
      </c>
      <c r="AT33" s="49">
        <f>SUM(AT31:AT32)</f>
        <v>0</v>
      </c>
      <c r="AU33" s="50">
        <f t="shared" si="31"/>
        <v>0</v>
      </c>
      <c r="AV33" s="49">
        <f t="shared" si="31"/>
        <v>0</v>
      </c>
      <c r="AW33" s="49">
        <f t="shared" si="31"/>
        <v>0</v>
      </c>
      <c r="AX33" s="326">
        <f t="shared" ref="AX33:BI33" si="33">SUM(AX31:AX32)</f>
        <v>0</v>
      </c>
      <c r="AY33" s="327">
        <f t="shared" si="33"/>
        <v>0</v>
      </c>
      <c r="AZ33" s="326">
        <f t="shared" si="33"/>
        <v>0</v>
      </c>
      <c r="BA33" s="327">
        <f t="shared" si="33"/>
        <v>0</v>
      </c>
      <c r="BB33" s="326">
        <f t="shared" si="33"/>
        <v>0</v>
      </c>
      <c r="BC33" s="326">
        <f t="shared" si="33"/>
        <v>0</v>
      </c>
      <c r="BD33" s="326">
        <f t="shared" si="33"/>
        <v>0</v>
      </c>
      <c r="BE33" s="327">
        <f t="shared" si="33"/>
        <v>0</v>
      </c>
      <c r="BF33" s="326">
        <f t="shared" si="33"/>
        <v>0</v>
      </c>
      <c r="BG33" s="327">
        <f t="shared" si="33"/>
        <v>0</v>
      </c>
      <c r="BH33" s="326">
        <f t="shared" si="33"/>
        <v>0</v>
      </c>
      <c r="BI33" s="326">
        <f t="shared" si="33"/>
        <v>0</v>
      </c>
    </row>
    <row r="34" spans="1:61" ht="21.75" customHeight="1" x14ac:dyDescent="0.25">
      <c r="A34" s="51"/>
      <c r="B34" s="51"/>
      <c r="C34" s="52"/>
      <c r="D34" s="51"/>
      <c r="E34" s="52"/>
      <c r="F34" s="51"/>
      <c r="G34" s="51"/>
      <c r="H34" s="53"/>
      <c r="I34" s="54"/>
      <c r="J34" s="53"/>
      <c r="K34" s="54"/>
      <c r="L34" s="54"/>
      <c r="M34" s="53"/>
      <c r="N34" s="54"/>
      <c r="O34" s="53"/>
      <c r="P34" s="54"/>
      <c r="Q34" s="53"/>
      <c r="R34" s="51"/>
      <c r="S34" s="54"/>
      <c r="T34" s="328"/>
      <c r="U34" s="329"/>
      <c r="V34" s="328"/>
      <c r="W34" s="329"/>
      <c r="X34" s="330"/>
      <c r="Y34" s="328"/>
      <c r="Z34" s="328"/>
      <c r="AA34" s="329"/>
      <c r="AB34" s="328"/>
      <c r="AC34" s="329"/>
      <c r="AD34" s="330"/>
      <c r="AE34" s="328"/>
      <c r="AF34" s="51"/>
      <c r="AG34" s="52"/>
      <c r="AH34" s="51"/>
      <c r="AI34" s="52"/>
      <c r="AJ34" s="51"/>
      <c r="AK34" s="51"/>
      <c r="AL34" s="53"/>
      <c r="AM34" s="54"/>
      <c r="AN34" s="53"/>
      <c r="AO34" s="54"/>
      <c r="AP34" s="51"/>
      <c r="AQ34" s="52"/>
      <c r="AR34" s="54"/>
      <c r="AS34" s="53"/>
      <c r="AT34" s="54"/>
      <c r="AU34" s="53"/>
      <c r="AV34" s="51"/>
      <c r="AW34" s="51"/>
      <c r="AX34" s="328"/>
      <c r="AY34" s="329"/>
      <c r="AZ34" s="328"/>
      <c r="BA34" s="329"/>
      <c r="BB34" s="330"/>
      <c r="BC34" s="328"/>
      <c r="BD34" s="328"/>
      <c r="BE34" s="329"/>
      <c r="BF34" s="328"/>
      <c r="BG34" s="329"/>
      <c r="BH34" s="330"/>
      <c r="BI34" s="328"/>
    </row>
    <row r="35" spans="1:61" ht="21.75" customHeight="1" thickBot="1" x14ac:dyDescent="0.3">
      <c r="A35" s="55"/>
      <c r="B35" s="55"/>
      <c r="C35" s="56"/>
      <c r="D35" s="55"/>
      <c r="E35" s="56"/>
      <c r="F35" s="55"/>
      <c r="G35" s="55"/>
      <c r="H35" s="57"/>
      <c r="I35" s="58"/>
      <c r="J35" s="57"/>
      <c r="K35" s="58"/>
      <c r="L35" s="58"/>
      <c r="M35" s="57"/>
      <c r="N35" s="58"/>
      <c r="O35" s="57"/>
      <c r="P35" s="58"/>
      <c r="Q35" s="57"/>
      <c r="R35" s="55"/>
      <c r="S35" s="58"/>
      <c r="T35" s="331"/>
      <c r="U35" s="332"/>
      <c r="V35" s="331"/>
      <c r="W35" s="332"/>
      <c r="X35" s="333"/>
      <c r="Y35" s="331"/>
      <c r="Z35" s="331"/>
      <c r="AA35" s="332"/>
      <c r="AB35" s="331"/>
      <c r="AC35" s="332"/>
      <c r="AD35" s="333"/>
      <c r="AE35" s="331"/>
      <c r="AF35" s="55"/>
      <c r="AG35" s="56"/>
      <c r="AH35" s="55"/>
      <c r="AI35" s="56"/>
      <c r="AJ35" s="55"/>
      <c r="AK35" s="55"/>
      <c r="AL35" s="57"/>
      <c r="AM35" s="58"/>
      <c r="AN35" s="57"/>
      <c r="AO35" s="58"/>
      <c r="AP35" s="55"/>
      <c r="AQ35" s="56"/>
      <c r="AR35" s="58"/>
      <c r="AS35" s="57"/>
      <c r="AT35" s="58"/>
      <c r="AU35" s="57"/>
      <c r="AV35" s="55"/>
      <c r="AW35" s="55"/>
      <c r="AX35" s="331"/>
      <c r="AY35" s="332"/>
      <c r="AZ35" s="331"/>
      <c r="BA35" s="332"/>
      <c r="BB35" s="333"/>
      <c r="BC35" s="331"/>
      <c r="BD35" s="331"/>
      <c r="BE35" s="332"/>
      <c r="BF35" s="331"/>
      <c r="BG35" s="332"/>
      <c r="BH35" s="333"/>
      <c r="BI35" s="331"/>
    </row>
    <row r="36" spans="1:61" ht="21.75" customHeight="1" thickBot="1" x14ac:dyDescent="0.3">
      <c r="A36" s="36" t="s">
        <v>36</v>
      </c>
      <c r="B36" s="59">
        <f t="shared" ref="B36:AG36" si="34">B29+B33</f>
        <v>24504502508.979996</v>
      </c>
      <c r="C36" s="60">
        <f t="shared" si="34"/>
        <v>4281021457</v>
      </c>
      <c r="D36" s="59">
        <f t="shared" si="34"/>
        <v>6034501956.2299995</v>
      </c>
      <c r="E36" s="60">
        <f t="shared" si="34"/>
        <v>12274004483.219997</v>
      </c>
      <c r="F36" s="59">
        <f t="shared" si="34"/>
        <v>1914974612.53</v>
      </c>
      <c r="G36" s="59">
        <f t="shared" si="34"/>
        <v>0</v>
      </c>
      <c r="H36" s="60">
        <f t="shared" si="34"/>
        <v>21862124685.089996</v>
      </c>
      <c r="I36" s="59">
        <f t="shared" si="34"/>
        <v>2818808169</v>
      </c>
      <c r="J36" s="60">
        <f t="shared" si="34"/>
        <v>5280107032.8700008</v>
      </c>
      <c r="K36" s="59">
        <f t="shared" si="34"/>
        <v>12241928483.219997</v>
      </c>
      <c r="L36" s="59">
        <f t="shared" si="34"/>
        <v>1521281000</v>
      </c>
      <c r="M36" s="60">
        <f t="shared" si="34"/>
        <v>0</v>
      </c>
      <c r="N36" s="59">
        <f t="shared" si="34"/>
        <v>2642377823.8899999</v>
      </c>
      <c r="O36" s="60">
        <f t="shared" si="34"/>
        <v>1462213288</v>
      </c>
      <c r="P36" s="59">
        <f t="shared" si="34"/>
        <v>754394923.36000001</v>
      </c>
      <c r="Q36" s="60">
        <f t="shared" si="34"/>
        <v>32076000</v>
      </c>
      <c r="R36" s="59">
        <f t="shared" si="34"/>
        <v>393693612.52999991</v>
      </c>
      <c r="S36" s="59">
        <f t="shared" si="34"/>
        <v>0</v>
      </c>
      <c r="T36" s="334">
        <f t="shared" si="34"/>
        <v>1607397347.01</v>
      </c>
      <c r="U36" s="335">
        <f t="shared" si="34"/>
        <v>1188432116</v>
      </c>
      <c r="V36" s="334">
        <f t="shared" si="34"/>
        <v>273506207.26999998</v>
      </c>
      <c r="W36" s="335">
        <f t="shared" si="34"/>
        <v>32076000</v>
      </c>
      <c r="X36" s="334">
        <f t="shared" si="34"/>
        <v>113383023.74000001</v>
      </c>
      <c r="Y36" s="334">
        <f t="shared" si="34"/>
        <v>0</v>
      </c>
      <c r="Z36" s="334">
        <f t="shared" si="34"/>
        <v>1034980476.88</v>
      </c>
      <c r="AA36" s="335">
        <f t="shared" si="34"/>
        <v>273781172</v>
      </c>
      <c r="AB36" s="334">
        <f t="shared" si="34"/>
        <v>480888716.08999997</v>
      </c>
      <c r="AC36" s="335">
        <f t="shared" si="34"/>
        <v>0</v>
      </c>
      <c r="AD36" s="334">
        <f t="shared" si="34"/>
        <v>280310588.79000002</v>
      </c>
      <c r="AE36" s="334">
        <f t="shared" si="34"/>
        <v>0</v>
      </c>
      <c r="AF36" s="59">
        <f t="shared" si="34"/>
        <v>17134346302.290001</v>
      </c>
      <c r="AG36" s="60">
        <f t="shared" si="34"/>
        <v>3066057531.5700002</v>
      </c>
      <c r="AH36" s="59">
        <f t="shared" ref="AH36:BI36" si="35">AH29+AH33</f>
        <v>3389548986.2699995</v>
      </c>
      <c r="AI36" s="60">
        <f t="shared" si="35"/>
        <v>9161039480.8600006</v>
      </c>
      <c r="AJ36" s="59">
        <f t="shared" si="35"/>
        <v>1517700303.5900002</v>
      </c>
      <c r="AK36" s="59">
        <f t="shared" si="35"/>
        <v>0</v>
      </c>
      <c r="AL36" s="60">
        <f t="shared" si="35"/>
        <v>15247884269.659998</v>
      </c>
      <c r="AM36" s="59">
        <f t="shared" si="35"/>
        <v>1900363313.6500001</v>
      </c>
      <c r="AN36" s="60">
        <f t="shared" si="35"/>
        <v>2959950896.5999994</v>
      </c>
      <c r="AO36" s="59">
        <f t="shared" si="35"/>
        <v>9140186790.1599998</v>
      </c>
      <c r="AP36" s="59">
        <f t="shared" si="35"/>
        <v>1247383269.25</v>
      </c>
      <c r="AQ36" s="60">
        <f t="shared" si="35"/>
        <v>0</v>
      </c>
      <c r="AR36" s="59">
        <f t="shared" si="35"/>
        <v>1886462032.6299996</v>
      </c>
      <c r="AS36" s="60">
        <f t="shared" si="35"/>
        <v>1165694217.9200001</v>
      </c>
      <c r="AT36" s="59">
        <f t="shared" si="35"/>
        <v>429598089.67000008</v>
      </c>
      <c r="AU36" s="60">
        <f t="shared" si="35"/>
        <v>20852690.699999999</v>
      </c>
      <c r="AV36" s="59">
        <f t="shared" si="35"/>
        <v>270317034.33999997</v>
      </c>
      <c r="AW36" s="59">
        <f t="shared" si="35"/>
        <v>0</v>
      </c>
      <c r="AX36" s="334">
        <f t="shared" si="35"/>
        <v>1131474784.1700001</v>
      </c>
      <c r="AY36" s="335">
        <f t="shared" si="35"/>
        <v>934834898.82000005</v>
      </c>
      <c r="AZ36" s="334">
        <f t="shared" si="35"/>
        <v>78815605.269999951</v>
      </c>
      <c r="BA36" s="335">
        <f t="shared" si="35"/>
        <v>20852690.699999999</v>
      </c>
      <c r="BB36" s="334">
        <f t="shared" si="35"/>
        <v>96971589.380000025</v>
      </c>
      <c r="BC36" s="334">
        <f t="shared" si="35"/>
        <v>0</v>
      </c>
      <c r="BD36" s="334">
        <f t="shared" si="35"/>
        <v>754987248.45999992</v>
      </c>
      <c r="BE36" s="335">
        <f t="shared" si="35"/>
        <v>230859319.09999999</v>
      </c>
      <c r="BF36" s="334">
        <f t="shared" si="35"/>
        <v>350782484.40000004</v>
      </c>
      <c r="BG36" s="335">
        <f t="shared" si="35"/>
        <v>0</v>
      </c>
      <c r="BH36" s="334">
        <f t="shared" si="35"/>
        <v>173345444.95999998</v>
      </c>
      <c r="BI36" s="334">
        <f t="shared" si="35"/>
        <v>0</v>
      </c>
    </row>
    <row r="37" spans="1:61" ht="15" x14ac:dyDescent="0.25">
      <c r="B37" s="61">
        <f>B36-C36-E36-D36-G36-F36</f>
        <v>0</v>
      </c>
      <c r="E37" s="61"/>
      <c r="H37" s="61">
        <f>H36-I36-K36-J36-M36-L36</f>
        <v>-1.9073486328125E-6</v>
      </c>
      <c r="K37" s="61"/>
      <c r="N37" s="61">
        <f>N36-O36-Q36-P36-S36-R36</f>
        <v>0</v>
      </c>
      <c r="Q37" s="61"/>
      <c r="Z37" s="355">
        <f>SUM(AA37:AE37)</f>
        <v>0</v>
      </c>
      <c r="AA37" s="355">
        <f>AA36-'Проверочная  таблица'!D47</f>
        <v>0</v>
      </c>
      <c r="AB37" s="355">
        <f>AB36-'Проверочная  таблица'!AI47</f>
        <v>0</v>
      </c>
      <c r="AC37" s="355">
        <f>AC36-'Проверочная  таблица'!RA47</f>
        <v>0</v>
      </c>
      <c r="AD37" s="355">
        <f>AD36-'Проверочная  таблица'!SK47</f>
        <v>0</v>
      </c>
      <c r="AE37" s="355"/>
      <c r="AF37" s="61">
        <f>AF36-AG36-AI36-AH36-AK36-AJ36</f>
        <v>0</v>
      </c>
      <c r="AI37" s="61"/>
      <c r="AL37" s="61">
        <f>AL36-AM36-AO36-AN36-AQ36-AP36</f>
        <v>0</v>
      </c>
      <c r="AO37" s="61"/>
      <c r="AR37" s="61">
        <f>AR36-AS36-AU36-AT36-AW36-AV36</f>
        <v>-5.3644180297851563E-7</v>
      </c>
      <c r="AU37" s="61"/>
      <c r="BD37" s="355">
        <f>SUM(BE37:BI37)</f>
        <v>0</v>
      </c>
      <c r="BE37" s="355">
        <f>BE36-'Проверочная  таблица'!E47</f>
        <v>0</v>
      </c>
      <c r="BF37" s="355">
        <f>BF36-'Проверочная  таблица'!AJ47</f>
        <v>0</v>
      </c>
      <c r="BG37" s="355">
        <f>BG36-'Проверочная  таблица'!RD47</f>
        <v>0</v>
      </c>
      <c r="BH37" s="355">
        <f>BH36-'Проверочная  таблица'!SL47</f>
        <v>0</v>
      </c>
      <c r="BI37" s="355"/>
    </row>
    <row r="38" spans="1:61" s="85" customFormat="1" x14ac:dyDescent="0.2">
      <c r="B38" s="442"/>
      <c r="E38" s="726"/>
      <c r="H38" s="442">
        <f>H36-'Проверочная  таблица'!B45-'Проверочная  таблица'!B44</f>
        <v>0</v>
      </c>
      <c r="N38" s="442">
        <f>N36-'Проверочная  таблица'!B46</f>
        <v>0</v>
      </c>
      <c r="AF38" s="442"/>
      <c r="AL38" s="442">
        <f>AL36-'Проверочная  таблица'!C45-'Проверочная  таблица'!C44</f>
        <v>0</v>
      </c>
      <c r="AR38" s="442">
        <f>AR36-'Проверочная  таблица'!C46</f>
        <v>0</v>
      </c>
    </row>
    <row r="39" spans="1:61" ht="21" customHeight="1" x14ac:dyDescent="0.25">
      <c r="A39" s="62" t="s">
        <v>39</v>
      </c>
      <c r="B39" s="63"/>
      <c r="C39" s="63"/>
      <c r="D39" s="63"/>
      <c r="E39" s="63"/>
      <c r="F39" s="63"/>
      <c r="G39" s="63"/>
      <c r="H39" s="63"/>
      <c r="I39" s="64"/>
      <c r="J39" s="64"/>
      <c r="K39" s="64"/>
      <c r="L39" s="64"/>
      <c r="M39" s="64"/>
      <c r="N39" s="65">
        <f>'Проверочная  таблица'!H37</f>
        <v>638004220</v>
      </c>
      <c r="O39" s="66"/>
      <c r="P39" s="66"/>
      <c r="Q39" s="66"/>
      <c r="R39" s="66"/>
      <c r="S39" s="66"/>
      <c r="T39" s="66"/>
      <c r="U39" s="66"/>
      <c r="V39" s="66"/>
      <c r="W39" s="66"/>
      <c r="X39" s="66"/>
      <c r="Y39" s="66"/>
      <c r="Z39" s="66"/>
      <c r="AA39" s="66"/>
      <c r="AB39" s="66"/>
      <c r="AC39" s="66"/>
      <c r="AD39" s="66"/>
      <c r="AE39" s="66"/>
      <c r="AF39" s="67"/>
      <c r="AG39" s="67"/>
      <c r="AH39" s="67"/>
      <c r="AI39" s="67"/>
      <c r="AJ39" s="67"/>
      <c r="AK39" s="67"/>
      <c r="AL39" s="64"/>
      <c r="AM39" s="64"/>
      <c r="AN39" s="64"/>
      <c r="AO39" s="64"/>
      <c r="AP39" s="64"/>
      <c r="AQ39" s="64"/>
      <c r="AR39" s="65">
        <f>'Проверочная  таблица'!I37</f>
        <v>486970154.60000002</v>
      </c>
      <c r="AS39" s="63"/>
      <c r="AT39" s="63"/>
      <c r="AU39" s="63"/>
      <c r="AV39" s="63"/>
      <c r="AW39" s="63"/>
      <c r="AX39" s="63"/>
      <c r="AY39" s="63"/>
      <c r="AZ39" s="63"/>
      <c r="BA39" s="63"/>
      <c r="BB39" s="63"/>
      <c r="BC39" s="63"/>
      <c r="BD39" s="63"/>
      <c r="BE39" s="63"/>
      <c r="BF39" s="63"/>
      <c r="BG39" s="63"/>
      <c r="BH39" s="63"/>
      <c r="BI39" s="63"/>
    </row>
    <row r="40" spans="1:61" ht="21" customHeight="1" x14ac:dyDescent="0.25">
      <c r="A40" s="62" t="s">
        <v>114</v>
      </c>
      <c r="B40" s="63"/>
      <c r="C40" s="63"/>
      <c r="D40" s="63"/>
      <c r="E40" s="63"/>
      <c r="F40" s="63"/>
      <c r="G40" s="63"/>
      <c r="H40" s="63"/>
      <c r="I40" s="64"/>
      <c r="J40" s="64"/>
      <c r="K40" s="64"/>
      <c r="L40" s="64"/>
      <c r="M40" s="64"/>
      <c r="N40" s="65">
        <f>'Проверочная  таблица'!P37</f>
        <v>812709068</v>
      </c>
      <c r="O40" s="66"/>
      <c r="P40" s="66"/>
      <c r="Q40" s="66"/>
      <c r="R40" s="66"/>
      <c r="S40" s="66"/>
      <c r="T40" s="66"/>
      <c r="U40" s="66"/>
      <c r="V40" s="66"/>
      <c r="W40" s="66"/>
      <c r="X40" s="66"/>
      <c r="Y40" s="66"/>
      <c r="Z40" s="66"/>
      <c r="AA40" s="66"/>
      <c r="AB40" s="66"/>
      <c r="AC40" s="66"/>
      <c r="AD40" s="66"/>
      <c r="AE40" s="66"/>
      <c r="AF40" s="67"/>
      <c r="AG40" s="67"/>
      <c r="AH40" s="67"/>
      <c r="AI40" s="67"/>
      <c r="AJ40" s="67"/>
      <c r="AK40" s="67"/>
      <c r="AL40" s="64"/>
      <c r="AM40" s="64"/>
      <c r="AN40" s="64"/>
      <c r="AO40" s="64"/>
      <c r="AP40" s="64"/>
      <c r="AQ40" s="64"/>
      <c r="AR40" s="65">
        <f>'Проверочная  таблица'!Q37</f>
        <v>667224063.32000005</v>
      </c>
      <c r="AS40" s="63"/>
      <c r="AT40" s="63"/>
      <c r="AU40" s="70"/>
      <c r="AV40" s="70"/>
      <c r="AW40" s="70"/>
      <c r="AX40" s="70"/>
      <c r="AY40" s="70"/>
      <c r="AZ40" s="70"/>
      <c r="BA40" s="70"/>
      <c r="BB40" s="70"/>
      <c r="BC40" s="70"/>
      <c r="BD40" s="70"/>
      <c r="BE40" s="70"/>
      <c r="BF40" s="70"/>
      <c r="BG40" s="70"/>
      <c r="BH40" s="70"/>
      <c r="BI40" s="70"/>
    </row>
    <row r="41" spans="1:61" ht="21" customHeight="1" x14ac:dyDescent="0.25">
      <c r="A41" s="74" t="s">
        <v>27</v>
      </c>
      <c r="B41" s="70"/>
      <c r="C41" s="70"/>
      <c r="D41" s="70"/>
      <c r="E41" s="70"/>
      <c r="F41" s="70"/>
      <c r="G41" s="70"/>
      <c r="H41" s="70"/>
      <c r="I41" s="68"/>
      <c r="J41" s="68"/>
      <c r="K41" s="68"/>
      <c r="L41" s="68"/>
      <c r="M41" s="68"/>
      <c r="N41" s="69">
        <f>'Проверочная  таблица'!AA37</f>
        <v>11500000</v>
      </c>
      <c r="O41" s="75"/>
      <c r="P41" s="75"/>
      <c r="Q41" s="75"/>
      <c r="R41" s="75"/>
      <c r="S41" s="75"/>
      <c r="T41" s="75"/>
      <c r="U41" s="75"/>
      <c r="V41" s="75"/>
      <c r="W41" s="75"/>
      <c r="X41" s="75"/>
      <c r="Y41" s="75"/>
      <c r="Z41" s="75"/>
      <c r="AA41" s="75"/>
      <c r="AB41" s="75"/>
      <c r="AC41" s="75"/>
      <c r="AD41" s="75"/>
      <c r="AE41" s="75"/>
      <c r="AF41" s="76"/>
      <c r="AG41" s="76"/>
      <c r="AH41" s="76"/>
      <c r="AI41" s="76"/>
      <c r="AJ41" s="76"/>
      <c r="AK41" s="76"/>
      <c r="AL41" s="68"/>
      <c r="AM41" s="68"/>
      <c r="AN41" s="68"/>
      <c r="AO41" s="68"/>
      <c r="AP41" s="68"/>
      <c r="AQ41" s="68"/>
      <c r="AR41" s="69">
        <f>'Проверочная  таблица'!AB37</f>
        <v>11500000</v>
      </c>
      <c r="AS41" s="63"/>
      <c r="AT41" s="63"/>
      <c r="AU41" s="63"/>
      <c r="AV41" s="63"/>
      <c r="AW41" s="63"/>
      <c r="AX41" s="63"/>
      <c r="AY41" s="63"/>
      <c r="AZ41" s="63"/>
      <c r="BA41" s="63"/>
      <c r="BB41" s="63"/>
      <c r="BC41" s="63"/>
      <c r="BD41" s="63"/>
      <c r="BE41" s="63"/>
      <c r="BF41" s="63"/>
      <c r="BG41" s="63"/>
      <c r="BH41" s="63"/>
      <c r="BI41" s="63"/>
    </row>
    <row r="42" spans="1:61" ht="21" customHeight="1" x14ac:dyDescent="0.25">
      <c r="A42" s="74" t="s">
        <v>10</v>
      </c>
      <c r="B42" s="70"/>
      <c r="C42" s="70"/>
      <c r="D42" s="70"/>
      <c r="E42" s="70"/>
      <c r="F42" s="70"/>
      <c r="G42" s="70"/>
      <c r="H42" s="70"/>
      <c r="I42" s="68"/>
      <c r="J42" s="68"/>
      <c r="K42" s="68"/>
      <c r="L42" s="68"/>
      <c r="M42" s="68"/>
      <c r="N42" s="69">
        <f>'Проверочная  таблица'!CE37</f>
        <v>75325010.150000006</v>
      </c>
      <c r="O42" s="75"/>
      <c r="P42" s="75"/>
      <c r="Q42" s="75"/>
      <c r="R42" s="75"/>
      <c r="S42" s="75"/>
      <c r="T42" s="75"/>
      <c r="U42" s="75"/>
      <c r="V42" s="75"/>
      <c r="W42" s="75"/>
      <c r="X42" s="75"/>
      <c r="Y42" s="75"/>
      <c r="Z42" s="75"/>
      <c r="AA42" s="75"/>
      <c r="AB42" s="75"/>
      <c r="AC42" s="75"/>
      <c r="AD42" s="75"/>
      <c r="AE42" s="75"/>
      <c r="AF42" s="76"/>
      <c r="AG42" s="76"/>
      <c r="AH42" s="76"/>
      <c r="AI42" s="76"/>
      <c r="AJ42" s="76"/>
      <c r="AK42" s="76"/>
      <c r="AL42" s="68"/>
      <c r="AM42" s="68"/>
      <c r="AN42" s="68"/>
      <c r="AO42" s="68"/>
      <c r="AP42" s="68"/>
      <c r="AQ42" s="68"/>
      <c r="AR42" s="69">
        <f>'Проверочная  таблица'!CJ37</f>
        <v>48416156.719999999</v>
      </c>
      <c r="AS42" s="70"/>
      <c r="AT42" s="70"/>
      <c r="AU42" s="63"/>
      <c r="AV42" s="63"/>
      <c r="AW42" s="63"/>
      <c r="AX42" s="63"/>
      <c r="AY42" s="63"/>
      <c r="AZ42" s="63"/>
      <c r="BA42" s="63"/>
      <c r="BB42" s="63"/>
      <c r="BC42" s="63"/>
      <c r="BD42" s="63"/>
      <c r="BE42" s="63"/>
      <c r="BF42" s="63"/>
      <c r="BG42" s="63"/>
      <c r="BH42" s="63"/>
      <c r="BI42" s="63"/>
    </row>
    <row r="43" spans="1:61" ht="21" customHeight="1" x14ac:dyDescent="0.25">
      <c r="A43" s="74" t="s">
        <v>275</v>
      </c>
      <c r="B43" s="70"/>
      <c r="C43" s="70"/>
      <c r="D43" s="70"/>
      <c r="E43" s="70"/>
      <c r="F43" s="70"/>
      <c r="G43" s="70"/>
      <c r="H43" s="70"/>
      <c r="I43" s="68"/>
      <c r="J43" s="68"/>
      <c r="K43" s="68"/>
      <c r="L43" s="68"/>
      <c r="M43" s="68"/>
      <c r="N43" s="69">
        <f>'Проверочная  таблица'!AW37</f>
        <v>0</v>
      </c>
      <c r="O43" s="75"/>
      <c r="P43" s="75"/>
      <c r="Q43" s="75"/>
      <c r="R43" s="75"/>
      <c r="S43" s="75"/>
      <c r="T43" s="75"/>
      <c r="U43" s="75"/>
      <c r="V43" s="75"/>
      <c r="W43" s="75"/>
      <c r="X43" s="75"/>
      <c r="Y43" s="75"/>
      <c r="Z43" s="75"/>
      <c r="AA43" s="75"/>
      <c r="AB43" s="75"/>
      <c r="AC43" s="75"/>
      <c r="AD43" s="75"/>
      <c r="AE43" s="75"/>
      <c r="AF43" s="76"/>
      <c r="AG43" s="76"/>
      <c r="AH43" s="76"/>
      <c r="AI43" s="76"/>
      <c r="AJ43" s="76"/>
      <c r="AK43" s="76"/>
      <c r="AL43" s="68"/>
      <c r="AM43" s="68"/>
      <c r="AN43" s="68"/>
      <c r="AO43" s="68"/>
      <c r="AP43" s="68"/>
      <c r="AQ43" s="68"/>
      <c r="AR43" s="69">
        <f>'Проверочная  таблица'!BA37</f>
        <v>0</v>
      </c>
      <c r="AS43" s="70"/>
      <c r="AT43" s="70"/>
      <c r="AU43" s="63"/>
      <c r="AV43" s="63"/>
      <c r="AW43" s="63"/>
      <c r="AX43" s="63"/>
      <c r="AY43" s="63"/>
      <c r="AZ43" s="63"/>
      <c r="BA43" s="63"/>
      <c r="BB43" s="63"/>
      <c r="BC43" s="63"/>
      <c r="BD43" s="63"/>
      <c r="BE43" s="63"/>
      <c r="BF43" s="63"/>
      <c r="BG43" s="63"/>
      <c r="BH43" s="63"/>
      <c r="BI43" s="63"/>
    </row>
    <row r="44" spans="1:61" ht="33" customHeight="1" x14ac:dyDescent="0.25">
      <c r="A44" s="1820" t="s">
        <v>166</v>
      </c>
      <c r="B44" s="1820"/>
      <c r="C44" s="1820"/>
      <c r="D44" s="1820"/>
      <c r="E44" s="1820"/>
      <c r="F44" s="1820"/>
      <c r="G44" s="1820"/>
      <c r="H44" s="1820"/>
      <c r="I44" s="1820"/>
      <c r="J44" s="1820"/>
      <c r="K44" s="1820"/>
      <c r="L44" s="68"/>
      <c r="M44" s="68"/>
      <c r="N44" s="69">
        <f>'Проверочная  таблица'!CU37</f>
        <v>191161297.18000001</v>
      </c>
      <c r="O44" s="75"/>
      <c r="P44" s="75"/>
      <c r="Q44" s="75"/>
      <c r="R44" s="75"/>
      <c r="S44" s="75"/>
      <c r="T44" s="75"/>
      <c r="U44" s="75"/>
      <c r="V44" s="75"/>
      <c r="W44" s="75"/>
      <c r="X44" s="75"/>
      <c r="Y44" s="75"/>
      <c r="Z44" s="75"/>
      <c r="AA44" s="75"/>
      <c r="AB44" s="75"/>
      <c r="AC44" s="75"/>
      <c r="AD44" s="75"/>
      <c r="AE44" s="75"/>
      <c r="AF44" s="76"/>
      <c r="AG44" s="76"/>
      <c r="AH44" s="76"/>
      <c r="AI44" s="76"/>
      <c r="AJ44" s="76"/>
      <c r="AK44" s="76"/>
      <c r="AL44" s="68"/>
      <c r="AM44" s="68"/>
      <c r="AN44" s="68"/>
      <c r="AO44" s="68"/>
      <c r="AP44" s="68"/>
      <c r="AQ44" s="68"/>
      <c r="AR44" s="69">
        <f>'Проверочная  таблица'!CV37</f>
        <v>160824176.32000002</v>
      </c>
      <c r="AS44" s="70"/>
      <c r="AT44" s="70"/>
      <c r="AU44" s="70"/>
      <c r="AV44" s="63"/>
      <c r="AW44" s="63"/>
      <c r="AX44" s="63"/>
      <c r="AY44" s="63"/>
      <c r="AZ44" s="63"/>
      <c r="BA44" s="63"/>
      <c r="BB44" s="63"/>
      <c r="BC44" s="63"/>
      <c r="BD44" s="63"/>
      <c r="BE44" s="63"/>
      <c r="BF44" s="63"/>
      <c r="BG44" s="63"/>
      <c r="BH44" s="63"/>
      <c r="BI44" s="63"/>
    </row>
    <row r="45" spans="1:61" ht="21" customHeight="1" x14ac:dyDescent="0.25">
      <c r="A45" s="74" t="s">
        <v>8</v>
      </c>
      <c r="B45" s="70"/>
      <c r="C45" s="70"/>
      <c r="D45" s="70"/>
      <c r="E45" s="70"/>
      <c r="F45" s="70"/>
      <c r="G45" s="70"/>
      <c r="H45" s="70"/>
      <c r="I45" s="68"/>
      <c r="J45" s="68"/>
      <c r="K45" s="68"/>
      <c r="L45" s="68"/>
      <c r="M45" s="68"/>
      <c r="N45" s="69">
        <f>'Проверочная  таблица'!DC37</f>
        <v>23311529.969999999</v>
      </c>
      <c r="O45" s="75"/>
      <c r="P45" s="75"/>
      <c r="Q45" s="75"/>
      <c r="R45" s="75"/>
      <c r="S45" s="75"/>
      <c r="T45" s="75"/>
      <c r="U45" s="75"/>
      <c r="V45" s="75"/>
      <c r="W45" s="75"/>
      <c r="X45" s="75"/>
      <c r="Y45" s="75"/>
      <c r="Z45" s="75"/>
      <c r="AA45" s="75"/>
      <c r="AB45" s="75"/>
      <c r="AC45" s="75"/>
      <c r="AD45" s="75"/>
      <c r="AE45" s="75"/>
      <c r="AF45" s="76"/>
      <c r="AG45" s="76"/>
      <c r="AH45" s="76"/>
      <c r="AI45" s="76"/>
      <c r="AJ45" s="76"/>
      <c r="AK45" s="76"/>
      <c r="AL45" s="68"/>
      <c r="AM45" s="68"/>
      <c r="AN45" s="68"/>
      <c r="AO45" s="68"/>
      <c r="AP45" s="64"/>
      <c r="AQ45" s="64"/>
      <c r="AR45" s="65">
        <f>'Проверочная  таблица'!DD37</f>
        <v>19127720.400000002</v>
      </c>
      <c r="AS45" s="63"/>
      <c r="AT45" s="63"/>
      <c r="AU45" s="63"/>
      <c r="AV45" s="63"/>
      <c r="AW45" s="70"/>
      <c r="AX45" s="70"/>
      <c r="AY45" s="70"/>
      <c r="AZ45" s="70"/>
      <c r="BA45" s="70"/>
      <c r="BB45" s="70"/>
      <c r="BC45" s="70"/>
      <c r="BD45" s="70"/>
      <c r="BE45" s="70"/>
      <c r="BF45" s="70"/>
      <c r="BG45" s="70"/>
      <c r="BH45" s="70"/>
      <c r="BI45" s="70"/>
    </row>
    <row r="46" spans="1:61" ht="21" customHeight="1" x14ac:dyDescent="0.25">
      <c r="A46" s="74" t="s">
        <v>528</v>
      </c>
      <c r="B46" s="70"/>
      <c r="C46" s="70"/>
      <c r="D46" s="70"/>
      <c r="E46" s="70"/>
      <c r="F46" s="70"/>
      <c r="G46" s="70"/>
      <c r="H46" s="70"/>
      <c r="I46" s="68"/>
      <c r="J46" s="68"/>
      <c r="K46" s="68"/>
      <c r="L46" s="68"/>
      <c r="M46" s="68"/>
      <c r="N46" s="69">
        <f>'Проверочная  таблица'!GS37</f>
        <v>6003700</v>
      </c>
      <c r="O46" s="75"/>
      <c r="P46" s="75"/>
      <c r="Q46" s="75"/>
      <c r="R46" s="75"/>
      <c r="S46" s="75"/>
      <c r="T46" s="75"/>
      <c r="U46" s="75"/>
      <c r="V46" s="75"/>
      <c r="W46" s="75"/>
      <c r="X46" s="75"/>
      <c r="Y46" s="75"/>
      <c r="Z46" s="75"/>
      <c r="AA46" s="75"/>
      <c r="AB46" s="75"/>
      <c r="AC46" s="75"/>
      <c r="AD46" s="75"/>
      <c r="AE46" s="75"/>
      <c r="AF46" s="76"/>
      <c r="AG46" s="76"/>
      <c r="AH46" s="76"/>
      <c r="AI46" s="76"/>
      <c r="AJ46" s="76"/>
      <c r="AK46" s="76"/>
      <c r="AL46" s="68"/>
      <c r="AM46" s="68"/>
      <c r="AN46" s="68"/>
      <c r="AO46" s="68"/>
      <c r="AP46" s="64"/>
      <c r="AQ46" s="64"/>
      <c r="AR46" s="65">
        <f>'Проверочная  таблица'!GV37</f>
        <v>2826804.55</v>
      </c>
      <c r="AS46" s="63"/>
      <c r="AT46" s="63"/>
      <c r="AU46" s="63"/>
      <c r="AV46" s="63"/>
      <c r="AW46" s="70"/>
      <c r="AX46" s="70"/>
      <c r="AY46" s="70"/>
      <c r="AZ46" s="70"/>
      <c r="BA46" s="70"/>
      <c r="BB46" s="70"/>
      <c r="BC46" s="70"/>
      <c r="BD46" s="70"/>
      <c r="BE46" s="70"/>
      <c r="BF46" s="70"/>
      <c r="BG46" s="70"/>
      <c r="BH46" s="70"/>
      <c r="BI46" s="70"/>
    </row>
    <row r="47" spans="1:61" ht="21" customHeight="1" x14ac:dyDescent="0.25">
      <c r="A47" s="62" t="s">
        <v>243</v>
      </c>
      <c r="B47" s="63"/>
      <c r="C47" s="63"/>
      <c r="D47" s="63"/>
      <c r="E47" s="63"/>
      <c r="F47" s="63"/>
      <c r="G47" s="63"/>
      <c r="H47" s="63"/>
      <c r="I47" s="64"/>
      <c r="J47" s="64"/>
      <c r="K47" s="64"/>
      <c r="L47" s="64"/>
      <c r="M47" s="64"/>
      <c r="N47" s="65">
        <f>'Проверочная  таблица'!JK37</f>
        <v>30146806</v>
      </c>
      <c r="O47" s="66"/>
      <c r="P47" s="66"/>
      <c r="Q47" s="66"/>
      <c r="R47" s="66"/>
      <c r="S47" s="66"/>
      <c r="T47" s="66"/>
      <c r="U47" s="66"/>
      <c r="V47" s="66"/>
      <c r="W47" s="66"/>
      <c r="X47" s="66"/>
      <c r="Y47" s="66"/>
      <c r="Z47" s="66"/>
      <c r="AA47" s="66"/>
      <c r="AB47" s="66"/>
      <c r="AC47" s="66"/>
      <c r="AD47" s="66"/>
      <c r="AE47" s="66"/>
      <c r="AF47" s="67"/>
      <c r="AG47" s="67"/>
      <c r="AH47" s="67"/>
      <c r="AI47" s="67"/>
      <c r="AJ47" s="67"/>
      <c r="AK47" s="67"/>
      <c r="AL47" s="64"/>
      <c r="AM47" s="64"/>
      <c r="AN47" s="64"/>
      <c r="AO47" s="64"/>
      <c r="AP47" s="64"/>
      <c r="AQ47" s="64"/>
      <c r="AR47" s="65">
        <f>'Проверочная  таблица'!JP37</f>
        <v>3601228.12</v>
      </c>
      <c r="AS47" s="63"/>
      <c r="AT47" s="63"/>
      <c r="AU47" s="63"/>
      <c r="AV47" s="63"/>
      <c r="AW47" s="63"/>
      <c r="AX47" s="63"/>
      <c r="AY47" s="63"/>
      <c r="AZ47" s="63"/>
      <c r="BA47" s="63"/>
      <c r="BB47" s="63"/>
      <c r="BC47" s="63"/>
      <c r="BD47" s="63"/>
      <c r="BE47" s="63"/>
      <c r="BF47" s="63"/>
      <c r="BG47" s="63"/>
      <c r="BH47" s="63"/>
      <c r="BI47" s="63"/>
    </row>
    <row r="48" spans="1:61" ht="21" customHeight="1" x14ac:dyDescent="0.25">
      <c r="A48" s="62" t="s">
        <v>245</v>
      </c>
      <c r="B48" s="63"/>
      <c r="C48" s="63"/>
      <c r="D48" s="63"/>
      <c r="E48" s="63"/>
      <c r="F48" s="63"/>
      <c r="G48" s="63"/>
      <c r="H48" s="63"/>
      <c r="I48" s="64"/>
      <c r="J48" s="64"/>
      <c r="K48" s="64"/>
      <c r="L48" s="64"/>
      <c r="M48" s="64"/>
      <c r="N48" s="65">
        <f>'Проверочная  таблица'!LI37</f>
        <v>202699999.99999997</v>
      </c>
      <c r="O48" s="66"/>
      <c r="P48" s="66"/>
      <c r="Q48" s="66"/>
      <c r="R48" s="66"/>
      <c r="S48" s="66"/>
      <c r="T48" s="66"/>
      <c r="U48" s="66"/>
      <c r="V48" s="66"/>
      <c r="W48" s="66"/>
      <c r="X48" s="66"/>
      <c r="Y48" s="66"/>
      <c r="Z48" s="66"/>
      <c r="AA48" s="66"/>
      <c r="AB48" s="66"/>
      <c r="AC48" s="66"/>
      <c r="AD48" s="66"/>
      <c r="AE48" s="66"/>
      <c r="AF48" s="67"/>
      <c r="AG48" s="67"/>
      <c r="AH48" s="67"/>
      <c r="AI48" s="67"/>
      <c r="AJ48" s="67"/>
      <c r="AK48" s="67"/>
      <c r="AL48" s="64"/>
      <c r="AM48" s="64"/>
      <c r="AN48" s="64"/>
      <c r="AO48" s="64"/>
      <c r="AP48" s="64"/>
      <c r="AQ48" s="64"/>
      <c r="AR48" s="65">
        <f>'Проверочная  таблица'!LM37</f>
        <v>114277931.97000001</v>
      </c>
      <c r="AS48" s="63"/>
      <c r="AT48" s="63"/>
      <c r="AU48" s="63"/>
      <c r="AV48" s="63"/>
      <c r="AW48" s="63"/>
      <c r="AX48" s="63"/>
      <c r="AY48" s="63"/>
      <c r="AZ48" s="63"/>
      <c r="BA48" s="63"/>
      <c r="BB48" s="63"/>
      <c r="BC48" s="63"/>
      <c r="BD48" s="63"/>
      <c r="BE48" s="63"/>
      <c r="BF48" s="63"/>
      <c r="BG48" s="63"/>
      <c r="BH48" s="63"/>
      <c r="BI48" s="63"/>
    </row>
    <row r="49" spans="1:61" ht="21" customHeight="1" x14ac:dyDescent="0.25">
      <c r="A49" s="62" t="s">
        <v>606</v>
      </c>
      <c r="B49" s="63"/>
      <c r="C49" s="63"/>
      <c r="D49" s="63"/>
      <c r="E49" s="63"/>
      <c r="F49" s="63"/>
      <c r="G49" s="63"/>
      <c r="H49" s="63"/>
      <c r="I49" s="64"/>
      <c r="J49" s="64"/>
      <c r="K49" s="64"/>
      <c r="L49" s="64"/>
      <c r="M49" s="64"/>
      <c r="N49" s="65">
        <f>'Проверочная  таблица'!MG37</f>
        <v>29047894.740000002</v>
      </c>
      <c r="O49" s="66"/>
      <c r="P49" s="66"/>
      <c r="Q49" s="66"/>
      <c r="R49" s="66"/>
      <c r="S49" s="66"/>
      <c r="T49" s="66"/>
      <c r="U49" s="66"/>
      <c r="V49" s="66"/>
      <c r="W49" s="66"/>
      <c r="X49" s="66"/>
      <c r="Y49" s="66"/>
      <c r="Z49" s="66"/>
      <c r="AA49" s="66"/>
      <c r="AB49" s="66"/>
      <c r="AC49" s="66"/>
      <c r="AD49" s="66"/>
      <c r="AE49" s="66"/>
      <c r="AF49" s="67"/>
      <c r="AG49" s="67"/>
      <c r="AH49" s="67"/>
      <c r="AI49" s="67"/>
      <c r="AJ49" s="67"/>
      <c r="AK49" s="67"/>
      <c r="AL49" s="64"/>
      <c r="AM49" s="64"/>
      <c r="AN49" s="64"/>
      <c r="AO49" s="64"/>
      <c r="AP49" s="64"/>
      <c r="AQ49" s="64"/>
      <c r="AR49" s="65">
        <f>'Проверочная  таблица'!ML37</f>
        <v>11299452.940000001</v>
      </c>
      <c r="AS49" s="63"/>
      <c r="AT49" s="63"/>
      <c r="AU49" s="63"/>
      <c r="AV49" s="63"/>
      <c r="AW49" s="63"/>
      <c r="AX49" s="63"/>
      <c r="AY49" s="63"/>
      <c r="AZ49" s="63"/>
      <c r="BA49" s="63"/>
      <c r="BB49" s="63"/>
      <c r="BC49" s="63"/>
      <c r="BD49" s="63"/>
      <c r="BE49" s="63"/>
      <c r="BF49" s="63"/>
      <c r="BG49" s="63"/>
      <c r="BH49" s="63"/>
      <c r="BI49" s="63"/>
    </row>
    <row r="50" spans="1:61" ht="21" customHeight="1" x14ac:dyDescent="0.25">
      <c r="A50" s="62" t="s">
        <v>611</v>
      </c>
      <c r="B50" s="63"/>
      <c r="C50" s="63"/>
      <c r="D50" s="63"/>
      <c r="E50" s="63"/>
      <c r="F50" s="63"/>
      <c r="G50" s="63"/>
      <c r="H50" s="63"/>
      <c r="I50" s="64"/>
      <c r="J50" s="64"/>
      <c r="K50" s="64"/>
      <c r="L50" s="64"/>
      <c r="M50" s="64"/>
      <c r="N50" s="65">
        <f>'Проверочная  таблица'!OE37</f>
        <v>30236421.050000001</v>
      </c>
      <c r="O50" s="66"/>
      <c r="P50" s="66"/>
      <c r="Q50" s="66"/>
      <c r="R50" s="66"/>
      <c r="S50" s="66"/>
      <c r="T50" s="66"/>
      <c r="U50" s="66"/>
      <c r="V50" s="66"/>
      <c r="W50" s="66"/>
      <c r="X50" s="66"/>
      <c r="Y50" s="66"/>
      <c r="Z50" s="66"/>
      <c r="AA50" s="66"/>
      <c r="AB50" s="66"/>
      <c r="AC50" s="66"/>
      <c r="AD50" s="66"/>
      <c r="AE50" s="66"/>
      <c r="AF50" s="67"/>
      <c r="AG50" s="67"/>
      <c r="AH50" s="67"/>
      <c r="AI50" s="67"/>
      <c r="AJ50" s="67"/>
      <c r="AK50" s="67"/>
      <c r="AL50" s="64"/>
      <c r="AM50" s="64"/>
      <c r="AN50" s="64"/>
      <c r="AO50" s="64"/>
      <c r="AP50" s="64"/>
      <c r="AQ50" s="64"/>
      <c r="AR50" s="65">
        <f>'Проверочная  таблица'!OL37</f>
        <v>11877721.65</v>
      </c>
      <c r="AS50" s="63"/>
      <c r="AT50" s="63"/>
      <c r="AU50" s="63"/>
      <c r="AV50" s="63"/>
      <c r="AW50" s="63"/>
      <c r="AX50" s="63"/>
      <c r="AY50" s="63"/>
      <c r="AZ50" s="63"/>
      <c r="BA50" s="63"/>
      <c r="BB50" s="63"/>
      <c r="BC50" s="63"/>
      <c r="BD50" s="63"/>
      <c r="BE50" s="63"/>
      <c r="BF50" s="63"/>
      <c r="BG50" s="63"/>
      <c r="BH50" s="63"/>
      <c r="BI50" s="63"/>
    </row>
    <row r="51" spans="1:61" ht="29.45" customHeight="1" x14ac:dyDescent="0.25">
      <c r="A51" s="1820" t="s">
        <v>667</v>
      </c>
      <c r="B51" s="1820"/>
      <c r="C51" s="1820"/>
      <c r="D51" s="1820"/>
      <c r="E51" s="1820"/>
      <c r="F51" s="1820"/>
      <c r="G51" s="1820"/>
      <c r="H51" s="1820"/>
      <c r="I51" s="1820"/>
      <c r="J51" s="1820"/>
      <c r="K51" s="1820"/>
      <c r="L51" s="1820"/>
      <c r="M51" s="64"/>
      <c r="N51" s="65">
        <f>'Проверочная  таблица'!FW37</f>
        <v>10944030</v>
      </c>
      <c r="O51" s="66"/>
      <c r="P51" s="66"/>
      <c r="Q51" s="66"/>
      <c r="R51" s="66"/>
      <c r="S51" s="66"/>
      <c r="T51" s="66"/>
      <c r="U51" s="66"/>
      <c r="V51" s="66"/>
      <c r="W51" s="66"/>
      <c r="X51" s="66"/>
      <c r="Y51" s="66"/>
      <c r="Z51" s="66"/>
      <c r="AA51" s="66"/>
      <c r="AB51" s="66"/>
      <c r="AC51" s="66"/>
      <c r="AD51" s="66"/>
      <c r="AE51" s="66"/>
      <c r="AF51" s="67"/>
      <c r="AG51" s="67"/>
      <c r="AH51" s="67"/>
      <c r="AI51" s="67"/>
      <c r="AJ51" s="67"/>
      <c r="AK51" s="67"/>
      <c r="AL51" s="64"/>
      <c r="AM51" s="64"/>
      <c r="AN51" s="64"/>
      <c r="AO51" s="64"/>
      <c r="AP51" s="64"/>
      <c r="AQ51" s="64"/>
      <c r="AR51" s="65">
        <f>'Проверочная  таблица'!FZ37</f>
        <v>0</v>
      </c>
      <c r="AS51" s="63"/>
      <c r="AT51" s="63"/>
      <c r="AU51" s="63"/>
      <c r="AV51" s="63"/>
      <c r="AW51" s="63"/>
      <c r="AX51" s="63"/>
      <c r="AY51" s="63"/>
      <c r="AZ51" s="63"/>
      <c r="BA51" s="63"/>
      <c r="BB51" s="63"/>
      <c r="BC51" s="63"/>
      <c r="BD51" s="63"/>
      <c r="BE51" s="63"/>
      <c r="BF51" s="63"/>
      <c r="BG51" s="63"/>
      <c r="BH51" s="63"/>
      <c r="BI51" s="63"/>
    </row>
    <row r="52" spans="1:61" ht="33.6" customHeight="1" x14ac:dyDescent="0.25">
      <c r="A52" s="1821" t="s">
        <v>244</v>
      </c>
      <c r="B52" s="1821"/>
      <c r="C52" s="1821"/>
      <c r="D52" s="1821"/>
      <c r="E52" s="1821"/>
      <c r="F52" s="1821"/>
      <c r="G52" s="1821"/>
      <c r="H52" s="1821"/>
      <c r="I52" s="1821"/>
      <c r="J52" s="1821"/>
      <c r="K52" s="1821"/>
      <c r="L52" s="1821"/>
      <c r="M52" s="64"/>
      <c r="N52" s="65">
        <f>'Проверочная  таблица'!HW37</f>
        <v>14363490.91</v>
      </c>
      <c r="O52" s="66"/>
      <c r="P52" s="66"/>
      <c r="Q52" s="66"/>
      <c r="R52" s="66"/>
      <c r="S52" s="66"/>
      <c r="T52" s="66"/>
      <c r="U52" s="66"/>
      <c r="V52" s="66"/>
      <c r="W52" s="66"/>
      <c r="X52" s="66"/>
      <c r="Y52" s="66"/>
      <c r="Z52" s="66"/>
      <c r="AA52" s="66"/>
      <c r="AB52" s="66"/>
      <c r="AC52" s="66"/>
      <c r="AD52" s="66"/>
      <c r="AE52" s="66"/>
      <c r="AF52" s="67"/>
      <c r="AG52" s="67"/>
      <c r="AH52" s="67"/>
      <c r="AI52" s="67"/>
      <c r="AJ52" s="67"/>
      <c r="AK52" s="67"/>
      <c r="AL52" s="64"/>
      <c r="AM52" s="64"/>
      <c r="AN52" s="64"/>
      <c r="AO52" s="64"/>
      <c r="AP52" s="64"/>
      <c r="AQ52" s="64"/>
      <c r="AR52" s="65">
        <f>'Проверочная  таблица'!HZ37</f>
        <v>12227034.040000003</v>
      </c>
      <c r="AS52" s="63"/>
      <c r="AT52" s="63"/>
      <c r="AU52" s="63"/>
      <c r="AV52" s="63"/>
      <c r="AW52" s="63"/>
      <c r="AX52" s="63"/>
      <c r="AY52" s="63"/>
      <c r="AZ52" s="63"/>
      <c r="BA52" s="63"/>
      <c r="BB52" s="63"/>
      <c r="BC52" s="63"/>
      <c r="BD52" s="63"/>
      <c r="BE52" s="63"/>
      <c r="BF52" s="63"/>
      <c r="BG52" s="63"/>
      <c r="BH52" s="63"/>
      <c r="BI52" s="63"/>
    </row>
    <row r="53" spans="1:61" ht="20.100000000000001" customHeight="1" x14ac:dyDescent="0.25">
      <c r="A53" s="1821" t="s">
        <v>858</v>
      </c>
      <c r="B53" s="1821"/>
      <c r="C53" s="1821"/>
      <c r="D53" s="1821"/>
      <c r="E53" s="1821"/>
      <c r="F53" s="1821"/>
      <c r="G53" s="1821"/>
      <c r="H53" s="1821"/>
      <c r="I53" s="1821"/>
      <c r="J53" s="1821"/>
      <c r="K53" s="1821"/>
      <c r="L53" s="1821"/>
      <c r="M53" s="64"/>
      <c r="N53" s="65">
        <f>'Проверочная  таблица'!QA37</f>
        <v>9318778.9499999993</v>
      </c>
      <c r="O53" s="66"/>
      <c r="P53" s="66"/>
      <c r="Q53" s="66"/>
      <c r="R53" s="66"/>
      <c r="S53" s="66"/>
      <c r="T53" s="66"/>
      <c r="U53" s="66"/>
      <c r="V53" s="66"/>
      <c r="W53" s="66"/>
      <c r="X53" s="66"/>
      <c r="Y53" s="66"/>
      <c r="Z53" s="66"/>
      <c r="AA53" s="66"/>
      <c r="AB53" s="66"/>
      <c r="AC53" s="66"/>
      <c r="AD53" s="66"/>
      <c r="AE53" s="66"/>
      <c r="AF53" s="67"/>
      <c r="AG53" s="67"/>
      <c r="AH53" s="67"/>
      <c r="AI53" s="67"/>
      <c r="AJ53" s="67"/>
      <c r="AK53" s="67"/>
      <c r="AL53" s="64"/>
      <c r="AM53" s="64"/>
      <c r="AN53" s="64"/>
      <c r="AO53" s="64"/>
      <c r="AP53" s="64"/>
      <c r="AQ53" s="64"/>
      <c r="AR53" s="65">
        <f>'Проверочная  таблица'!QD37</f>
        <v>0</v>
      </c>
      <c r="AS53" s="63"/>
      <c r="AT53" s="63"/>
      <c r="AU53" s="63"/>
      <c r="AV53" s="63"/>
      <c r="AW53" s="63"/>
      <c r="AX53" s="63"/>
      <c r="AY53" s="63"/>
      <c r="AZ53" s="63"/>
      <c r="BA53" s="63"/>
      <c r="BB53" s="63"/>
      <c r="BC53" s="63"/>
      <c r="BD53" s="63"/>
      <c r="BE53" s="63"/>
      <c r="BF53" s="63"/>
      <c r="BG53" s="63"/>
      <c r="BH53" s="63"/>
      <c r="BI53" s="63"/>
    </row>
    <row r="54" spans="1:61" ht="21" customHeight="1" x14ac:dyDescent="0.25">
      <c r="A54" s="62" t="s">
        <v>162</v>
      </c>
      <c r="B54" s="63"/>
      <c r="C54" s="63"/>
      <c r="D54" s="63"/>
      <c r="E54" s="63"/>
      <c r="F54" s="63"/>
      <c r="G54" s="63"/>
      <c r="H54" s="63"/>
      <c r="I54" s="64"/>
      <c r="J54" s="64"/>
      <c r="K54" s="64"/>
      <c r="L54" s="64"/>
      <c r="M54" s="64"/>
      <c r="N54" s="65">
        <f>'Проверочная  таблица'!QU37</f>
        <v>131835964.41</v>
      </c>
      <c r="O54" s="66"/>
      <c r="P54" s="66"/>
      <c r="Q54" s="66"/>
      <c r="R54" s="66"/>
      <c r="S54" s="66"/>
      <c r="T54" s="66"/>
      <c r="U54" s="66"/>
      <c r="V54" s="66"/>
      <c r="W54" s="66"/>
      <c r="X54" s="66"/>
      <c r="Y54" s="66"/>
      <c r="Z54" s="66"/>
      <c r="AA54" s="66"/>
      <c r="AB54" s="66"/>
      <c r="AC54" s="66"/>
      <c r="AD54" s="66"/>
      <c r="AE54" s="66"/>
      <c r="AF54" s="67"/>
      <c r="AG54" s="67"/>
      <c r="AH54" s="67"/>
      <c r="AI54" s="67"/>
      <c r="AJ54" s="67"/>
      <c r="AK54" s="67"/>
      <c r="AL54" s="64"/>
      <c r="AM54" s="64"/>
      <c r="AN54" s="64"/>
      <c r="AO54" s="64"/>
      <c r="AP54" s="64"/>
      <c r="AQ54" s="64"/>
      <c r="AR54" s="65">
        <f>'Проверочная  таблица'!QV37</f>
        <v>45119862.960000008</v>
      </c>
      <c r="AS54" s="63"/>
      <c r="AT54" s="63"/>
      <c r="AU54" s="63"/>
      <c r="AV54" s="63"/>
      <c r="AW54" s="63"/>
      <c r="AX54" s="63"/>
      <c r="AY54" s="63"/>
      <c r="AZ54" s="63"/>
      <c r="BA54" s="63"/>
      <c r="BB54" s="63"/>
      <c r="BC54" s="63"/>
      <c r="BD54" s="63"/>
      <c r="BE54" s="63"/>
      <c r="BF54" s="63"/>
      <c r="BG54" s="63"/>
      <c r="BH54" s="63"/>
      <c r="BI54" s="63"/>
    </row>
    <row r="55" spans="1:61" ht="21" customHeight="1" x14ac:dyDescent="0.25">
      <c r="A55" s="62" t="s">
        <v>163</v>
      </c>
      <c r="B55" s="63"/>
      <c r="C55" s="63"/>
      <c r="D55" s="63"/>
      <c r="E55" s="63"/>
      <c r="F55" s="63"/>
      <c r="G55" s="63"/>
      <c r="H55" s="63"/>
      <c r="I55" s="64"/>
      <c r="J55" s="64"/>
      <c r="K55" s="64"/>
      <c r="L55" s="64"/>
      <c r="M55" s="64"/>
      <c r="N55" s="65">
        <f>'Проверочная  таблица'!RM37</f>
        <v>32076000</v>
      </c>
      <c r="O55" s="66"/>
      <c r="P55" s="66"/>
      <c r="Q55" s="66"/>
      <c r="R55" s="66"/>
      <c r="S55" s="66"/>
      <c r="T55" s="66"/>
      <c r="U55" s="66"/>
      <c r="V55" s="66"/>
      <c r="W55" s="66"/>
      <c r="X55" s="66"/>
      <c r="Y55" s="66"/>
      <c r="Z55" s="66"/>
      <c r="AA55" s="66"/>
      <c r="AB55" s="66"/>
      <c r="AC55" s="66"/>
      <c r="AD55" s="66"/>
      <c r="AE55" s="66"/>
      <c r="AF55" s="67"/>
      <c r="AG55" s="67"/>
      <c r="AH55" s="67"/>
      <c r="AI55" s="67"/>
      <c r="AJ55" s="67"/>
      <c r="AK55" s="67"/>
      <c r="AL55" s="64"/>
      <c r="AM55" s="64"/>
      <c r="AN55" s="64"/>
      <c r="AO55" s="64"/>
      <c r="AP55" s="64"/>
      <c r="AQ55" s="64"/>
      <c r="AR55" s="65">
        <f>'Проверочная  таблица'!RN37</f>
        <v>20852690.699999999</v>
      </c>
      <c r="AS55" s="63"/>
      <c r="AT55" s="63"/>
      <c r="AU55" s="63"/>
      <c r="AV55" s="63"/>
      <c r="AW55" s="63"/>
      <c r="AX55" s="63"/>
      <c r="AY55" s="63"/>
      <c r="AZ55" s="63"/>
      <c r="BA55" s="63"/>
      <c r="BB55" s="63"/>
      <c r="BC55" s="63"/>
      <c r="BD55" s="63"/>
      <c r="BE55" s="63"/>
      <c r="BF55" s="63"/>
      <c r="BG55" s="63"/>
      <c r="BH55" s="63"/>
      <c r="BI55" s="63"/>
    </row>
    <row r="56" spans="1:61" ht="21" customHeight="1" x14ac:dyDescent="0.25">
      <c r="A56" s="77" t="s">
        <v>276</v>
      </c>
      <c r="B56" s="73"/>
      <c r="C56" s="73"/>
      <c r="D56" s="73"/>
      <c r="E56" s="73"/>
      <c r="F56" s="73"/>
      <c r="G56" s="73"/>
      <c r="H56" s="73"/>
      <c r="I56" s="71"/>
      <c r="J56" s="71"/>
      <c r="K56" s="71"/>
      <c r="L56" s="71"/>
      <c r="M56" s="71"/>
      <c r="N56" s="78">
        <f>'Проверочная  таблица'!TC37</f>
        <v>0</v>
      </c>
      <c r="O56" s="79"/>
      <c r="P56" s="79"/>
      <c r="Q56" s="79"/>
      <c r="R56" s="79"/>
      <c r="S56" s="79"/>
      <c r="T56" s="79"/>
      <c r="U56" s="79"/>
      <c r="V56" s="79"/>
      <c r="W56" s="79"/>
      <c r="X56" s="79"/>
      <c r="Y56" s="79"/>
      <c r="Z56" s="79"/>
      <c r="AA56" s="79"/>
      <c r="AB56" s="79"/>
      <c r="AC56" s="79"/>
      <c r="AD56" s="79"/>
      <c r="AE56" s="79"/>
      <c r="AF56" s="80"/>
      <c r="AG56" s="80"/>
      <c r="AH56" s="80"/>
      <c r="AI56" s="80"/>
      <c r="AJ56" s="80"/>
      <c r="AK56" s="80"/>
      <c r="AL56" s="71"/>
      <c r="AM56" s="71"/>
      <c r="AN56" s="71"/>
      <c r="AO56" s="71"/>
      <c r="AP56" s="71"/>
      <c r="AQ56" s="71"/>
      <c r="AR56" s="78">
        <f>'Проверочная  таблица'!TE37</f>
        <v>0</v>
      </c>
      <c r="AS56" s="73"/>
      <c r="AT56" s="73"/>
      <c r="AU56" s="73"/>
      <c r="AV56" s="73"/>
      <c r="AW56" s="63"/>
      <c r="AX56" s="63"/>
      <c r="AY56" s="63"/>
      <c r="AZ56" s="63"/>
      <c r="BA56" s="63"/>
      <c r="BB56" s="63"/>
      <c r="BC56" s="63"/>
      <c r="BD56" s="63"/>
      <c r="BE56" s="63"/>
      <c r="BF56" s="63"/>
      <c r="BG56" s="63"/>
      <c r="BH56" s="63"/>
      <c r="BI56" s="63"/>
    </row>
    <row r="57" spans="1:61" ht="36" customHeight="1" x14ac:dyDescent="0.25">
      <c r="A57" s="1820" t="s">
        <v>741</v>
      </c>
      <c r="B57" s="1820"/>
      <c r="C57" s="1820"/>
      <c r="D57" s="1820"/>
      <c r="E57" s="1820"/>
      <c r="F57" s="1820"/>
      <c r="G57" s="1820"/>
      <c r="H57" s="1820"/>
      <c r="I57" s="1820"/>
      <c r="J57" s="1820"/>
      <c r="K57" s="1820"/>
      <c r="L57" s="1820"/>
      <c r="M57" s="71"/>
      <c r="N57" s="78">
        <f>'Проверочная  таблица'!TQ37</f>
        <v>276117432</v>
      </c>
      <c r="O57" s="79"/>
      <c r="P57" s="79"/>
      <c r="Q57" s="79"/>
      <c r="R57" s="79"/>
      <c r="S57" s="79"/>
      <c r="T57" s="79"/>
      <c r="U57" s="79"/>
      <c r="V57" s="79"/>
      <c r="W57" s="79"/>
      <c r="X57" s="79"/>
      <c r="Y57" s="79"/>
      <c r="Z57" s="79"/>
      <c r="AA57" s="79"/>
      <c r="AB57" s="79"/>
      <c r="AC57" s="79"/>
      <c r="AD57" s="79"/>
      <c r="AE57" s="79"/>
      <c r="AF57" s="80"/>
      <c r="AG57" s="80"/>
      <c r="AH57" s="80"/>
      <c r="AI57" s="80"/>
      <c r="AJ57" s="80"/>
      <c r="AK57" s="80"/>
      <c r="AL57" s="71"/>
      <c r="AM57" s="71"/>
      <c r="AN57" s="71"/>
      <c r="AO57" s="71"/>
      <c r="AP57" s="71"/>
      <c r="AQ57" s="71"/>
      <c r="AR57" s="78">
        <f>'Проверочная  таблица'!TT37</f>
        <v>169152288.16999999</v>
      </c>
      <c r="AS57" s="73"/>
      <c r="AT57" s="73"/>
      <c r="AU57" s="73"/>
      <c r="AV57" s="73"/>
      <c r="AW57" s="63"/>
      <c r="AX57" s="63"/>
      <c r="AY57" s="63"/>
      <c r="AZ57" s="63"/>
      <c r="BA57" s="63"/>
      <c r="BB57" s="63"/>
      <c r="BC57" s="63"/>
      <c r="BD57" s="63"/>
      <c r="BE57" s="63"/>
      <c r="BF57" s="63"/>
      <c r="BG57" s="63"/>
      <c r="BH57" s="63"/>
      <c r="BI57" s="63"/>
    </row>
    <row r="58" spans="1:61" ht="21" customHeight="1" x14ac:dyDescent="0.25">
      <c r="A58" s="77" t="s">
        <v>168</v>
      </c>
      <c r="B58" s="73"/>
      <c r="C58" s="73"/>
      <c r="D58" s="73"/>
      <c r="E58" s="73"/>
      <c r="F58" s="73"/>
      <c r="G58" s="73"/>
      <c r="H58" s="73"/>
      <c r="I58" s="71"/>
      <c r="J58" s="71"/>
      <c r="K58" s="71"/>
      <c r="L58" s="71"/>
      <c r="M58" s="71"/>
      <c r="N58" s="78">
        <f>'Проверочная  таблица'!VC37</f>
        <v>117576180.53000002</v>
      </c>
      <c r="O58" s="79"/>
      <c r="P58" s="79"/>
      <c r="Q58" s="79"/>
      <c r="R58" s="79"/>
      <c r="S58" s="79"/>
      <c r="T58" s="79"/>
      <c r="U58" s="79"/>
      <c r="V58" s="79"/>
      <c r="W58" s="79"/>
      <c r="X58" s="79"/>
      <c r="Y58" s="79"/>
      <c r="Z58" s="79"/>
      <c r="AA58" s="79"/>
      <c r="AB58" s="79"/>
      <c r="AC58" s="79"/>
      <c r="AD58" s="79"/>
      <c r="AE58" s="79"/>
      <c r="AF58" s="80"/>
      <c r="AG58" s="80"/>
      <c r="AH58" s="80"/>
      <c r="AI58" s="80"/>
      <c r="AJ58" s="80"/>
      <c r="AK58" s="80"/>
      <c r="AL58" s="71"/>
      <c r="AM58" s="71"/>
      <c r="AN58" s="71"/>
      <c r="AO58" s="71"/>
      <c r="AP58" s="71"/>
      <c r="AQ58" s="71"/>
      <c r="AR58" s="78">
        <f>'Проверочная  таблица'!VF37</f>
        <v>101164746.17</v>
      </c>
      <c r="AS58" s="73"/>
      <c r="AT58" s="73"/>
      <c r="AU58" s="73"/>
      <c r="AV58" s="73"/>
      <c r="AW58" s="63"/>
      <c r="AX58" s="63"/>
      <c r="AY58" s="63"/>
      <c r="AZ58" s="63"/>
      <c r="BA58" s="63"/>
      <c r="BB58" s="63"/>
      <c r="BC58" s="63"/>
      <c r="BD58" s="63"/>
      <c r="BE58" s="63"/>
      <c r="BF58" s="63"/>
      <c r="BG58" s="63"/>
      <c r="BH58" s="63"/>
      <c r="BI58" s="63"/>
    </row>
    <row r="59" spans="1:61" ht="21" customHeight="1" x14ac:dyDescent="0.2">
      <c r="A59" s="81" t="s">
        <v>164</v>
      </c>
      <c r="B59" s="82"/>
      <c r="C59" s="82"/>
      <c r="D59" s="82"/>
      <c r="E59" s="82"/>
      <c r="F59" s="82"/>
      <c r="G59" s="82"/>
      <c r="H59" s="82"/>
      <c r="I59" s="81"/>
      <c r="J59" s="81"/>
      <c r="K59" s="81"/>
      <c r="L59" s="81"/>
      <c r="M59" s="81"/>
      <c r="N59" s="83">
        <f>SUM(N39:N58)-N36</f>
        <v>0</v>
      </c>
      <c r="O59" s="83"/>
      <c r="P59" s="83"/>
      <c r="Q59" s="83"/>
      <c r="R59" s="83"/>
      <c r="S59" s="83"/>
      <c r="T59" s="83"/>
      <c r="U59" s="83"/>
      <c r="V59" s="83"/>
      <c r="W59" s="83"/>
      <c r="X59" s="83"/>
      <c r="Y59" s="83"/>
      <c r="Z59" s="83"/>
      <c r="AA59" s="83"/>
      <c r="AB59" s="83"/>
      <c r="AC59" s="83"/>
      <c r="AD59" s="83"/>
      <c r="AE59" s="83"/>
      <c r="AF59" s="82"/>
      <c r="AG59" s="82"/>
      <c r="AH59" s="82"/>
      <c r="AI59" s="82"/>
      <c r="AJ59" s="82"/>
      <c r="AK59" s="82"/>
      <c r="AL59" s="81"/>
      <c r="AM59" s="81"/>
      <c r="AN59" s="81"/>
      <c r="AO59" s="81"/>
      <c r="AP59" s="81"/>
      <c r="AQ59" s="81"/>
      <c r="AR59" s="83">
        <f>SUM(AR39:AR58)-AR36</f>
        <v>0</v>
      </c>
      <c r="AS59" s="82"/>
      <c r="AT59" s="82"/>
      <c r="AU59" s="82"/>
      <c r="AV59" s="82"/>
      <c r="AW59" s="84"/>
    </row>
    <row r="63" spans="1:61" s="85" customFormat="1" ht="15.75" x14ac:dyDescent="0.25">
      <c r="B63" s="1053" t="s">
        <v>457</v>
      </c>
      <c r="C63" s="1053" t="s">
        <v>458</v>
      </c>
      <c r="D63" s="1054" t="s">
        <v>459</v>
      </c>
      <c r="E63" s="1054" t="s">
        <v>460</v>
      </c>
      <c r="F63" s="1054" t="s">
        <v>461</v>
      </c>
      <c r="H63" s="1054" t="s">
        <v>462</v>
      </c>
      <c r="I63" s="1054" t="s">
        <v>463</v>
      </c>
      <c r="J63" s="1054" t="s">
        <v>464</v>
      </c>
      <c r="K63" s="1054" t="s">
        <v>465</v>
      </c>
      <c r="L63" s="1054" t="s">
        <v>466</v>
      </c>
      <c r="N63" s="442"/>
      <c r="AF63" s="442"/>
      <c r="AL63" s="442"/>
      <c r="AR63" s="442"/>
    </row>
    <row r="64" spans="1:61" s="85" customFormat="1" ht="15.75" x14ac:dyDescent="0.25">
      <c r="A64" s="1055" t="s">
        <v>467</v>
      </c>
      <c r="B64" s="1056">
        <f>D64+F64+I64+K64</f>
        <v>24504502.508979999</v>
      </c>
      <c r="C64" s="1056">
        <f>E64+H64+J64+L64</f>
        <v>17134346.30229</v>
      </c>
      <c r="D64" s="1057">
        <f>H33/1000</f>
        <v>11265105.090249998</v>
      </c>
      <c r="E64" s="1057">
        <f>AL33/1000</f>
        <v>7779137.8552099988</v>
      </c>
      <c r="F64" s="1057">
        <f>H29/1000</f>
        <v>10597019.594839998</v>
      </c>
      <c r="G64" s="1058"/>
      <c r="H64" s="1057">
        <f>AL29/1000</f>
        <v>7468746.4144499991</v>
      </c>
      <c r="I64" s="1057">
        <f>Z36/1000</f>
        <v>1034980.47688</v>
      </c>
      <c r="J64" s="1057">
        <f>BD36/1000</f>
        <v>754987.24845999992</v>
      </c>
      <c r="K64" s="1057">
        <f>T36/1000</f>
        <v>1607397.3470099999</v>
      </c>
      <c r="L64" s="1057">
        <f>AX36/1000</f>
        <v>1131474.7841700001</v>
      </c>
      <c r="N64" s="442"/>
      <c r="AF64" s="442"/>
      <c r="AL64" s="442"/>
      <c r="AR64" s="442"/>
    </row>
    <row r="65" spans="1:44" s="85" customFormat="1" x14ac:dyDescent="0.2">
      <c r="A65" s="1059"/>
      <c r="B65" s="1060"/>
      <c r="C65" s="1060"/>
      <c r="D65" s="1061"/>
      <c r="E65" s="1061"/>
      <c r="F65" s="1061"/>
      <c r="G65" s="1058"/>
      <c r="H65" s="1061"/>
      <c r="I65" s="1061"/>
      <c r="J65" s="1061"/>
      <c r="K65" s="1061"/>
      <c r="L65" s="1061"/>
      <c r="N65" s="442"/>
      <c r="AF65" s="442"/>
      <c r="AL65" s="442"/>
      <c r="AR65" s="442"/>
    </row>
    <row r="66" spans="1:44" s="85" customFormat="1" ht="15.75" x14ac:dyDescent="0.25">
      <c r="A66" s="1055" t="s">
        <v>468</v>
      </c>
      <c r="B66" s="1056">
        <f>D66+F66+I66+K66</f>
        <v>4281021.4570000004</v>
      </c>
      <c r="C66" s="1056">
        <f>E66+H66+J66+L66</f>
        <v>3066057.5315699996</v>
      </c>
      <c r="D66" s="1057">
        <f>I33/1000</f>
        <v>1504303.7180000001</v>
      </c>
      <c r="E66" s="1057">
        <f>AM33/1000</f>
        <v>853053.29871</v>
      </c>
      <c r="F66" s="1057">
        <f>I29/1000</f>
        <v>1314504.4509999999</v>
      </c>
      <c r="G66" s="1058"/>
      <c r="H66" s="1057">
        <f>AM29/1000</f>
        <v>1047310.01494</v>
      </c>
      <c r="I66" s="1057">
        <f>AA36/1000</f>
        <v>273781.17200000002</v>
      </c>
      <c r="J66" s="1057">
        <f>BE36/1000</f>
        <v>230859.31909999999</v>
      </c>
      <c r="K66" s="1057">
        <f>U36/1000</f>
        <v>1188432.1159999999</v>
      </c>
      <c r="L66" s="1057">
        <f>AY36/1000</f>
        <v>934834.89882</v>
      </c>
      <c r="N66" s="442"/>
      <c r="AF66" s="442"/>
      <c r="AL66" s="442"/>
      <c r="AR66" s="442"/>
    </row>
    <row r="67" spans="1:44" s="85" customFormat="1" ht="15.75" x14ac:dyDescent="0.25">
      <c r="A67" s="1055" t="s">
        <v>469</v>
      </c>
      <c r="B67" s="1056">
        <f t="shared" ref="B67:B68" si="36">D67+F67+I67+K67</f>
        <v>1708347.686</v>
      </c>
      <c r="C67" s="1056">
        <f t="shared" ref="C67:C68" si="37">E67+H67+J67+L67</f>
        <v>1332082.7712300001</v>
      </c>
      <c r="D67" s="1062">
        <f>'Проверочная  таблица'!F34/1000</f>
        <v>199370.56600000002</v>
      </c>
      <c r="E67" s="1062">
        <f>'Проверочная  таблица'!G34/1000</f>
        <v>183434.1</v>
      </c>
      <c r="F67" s="1062">
        <f>'Проверочная  таблица'!F30/1000</f>
        <v>870972.9</v>
      </c>
      <c r="G67" s="1062"/>
      <c r="H67" s="1062">
        <f>'Проверочная  таблица'!G30/1000</f>
        <v>661678.51662999997</v>
      </c>
      <c r="I67" s="1062">
        <f>'Проверочная  таблица'!L37/1000</f>
        <v>142326</v>
      </c>
      <c r="J67" s="1062">
        <f>'Проверочная  таблица'!M37/1000</f>
        <v>110416.7197</v>
      </c>
      <c r="K67" s="1062">
        <f>'Проверочная  таблица'!J37/1000</f>
        <v>495678.22</v>
      </c>
      <c r="L67" s="1062">
        <f>'Проверочная  таблица'!K37/1000</f>
        <v>376553.43489999999</v>
      </c>
      <c r="M67" s="1063">
        <v>132564.29999999999</v>
      </c>
      <c r="N67" s="442"/>
      <c r="AF67" s="442"/>
      <c r="AL67" s="442"/>
      <c r="AR67" s="442"/>
    </row>
    <row r="68" spans="1:44" s="85" customFormat="1" ht="15.75" x14ac:dyDescent="0.25">
      <c r="A68" s="1055" t="s">
        <v>470</v>
      </c>
      <c r="B68" s="1056">
        <f t="shared" si="36"/>
        <v>2532673.7709999997</v>
      </c>
      <c r="C68" s="1056">
        <f t="shared" si="37"/>
        <v>1695274.5773400003</v>
      </c>
      <c r="D68" s="1062">
        <f>'Проверочная  таблица'!N34/1000</f>
        <v>1303333.152</v>
      </c>
      <c r="E68" s="1062">
        <f>'Проверочная  таблица'!O34/1000</f>
        <v>669119.19871000003</v>
      </c>
      <c r="F68" s="1062">
        <f>'Проверочная  таблица'!N30/1000</f>
        <v>416631.55099999998</v>
      </c>
      <c r="G68" s="1062"/>
      <c r="H68" s="1062">
        <f>'Проверочная  таблица'!O30/1000</f>
        <v>358931.31530999998</v>
      </c>
      <c r="I68" s="1062">
        <f>'Проверочная  таблица'!T30/1000</f>
        <v>128455.17200000001</v>
      </c>
      <c r="J68" s="1062">
        <f>'Проверочная  таблица'!U30/1000</f>
        <v>117442.59940000001</v>
      </c>
      <c r="K68" s="1062">
        <f>'Проверочная  таблица'!R30/1000</f>
        <v>684253.89599999995</v>
      </c>
      <c r="L68" s="1062">
        <f>'Проверочная  таблица'!S30/1000</f>
        <v>549781.46392000013</v>
      </c>
      <c r="M68" s="1063">
        <v>15020</v>
      </c>
      <c r="N68" s="442"/>
      <c r="AF68" s="442"/>
      <c r="AL68" s="442"/>
      <c r="AR68" s="442"/>
    </row>
    <row r="69" spans="1:44" s="85" customFormat="1" ht="15.75" x14ac:dyDescent="0.25">
      <c r="A69" s="1055" t="s">
        <v>471</v>
      </c>
      <c r="B69" s="1056">
        <f>B66-B67-B68</f>
        <v>40000.000000000931</v>
      </c>
      <c r="C69" s="1056">
        <f t="shared" ref="C69:L69" si="38">C66-C67-C68</f>
        <v>38700.182999999262</v>
      </c>
      <c r="D69" s="1062">
        <f t="shared" si="38"/>
        <v>1600</v>
      </c>
      <c r="E69" s="1062">
        <f t="shared" si="38"/>
        <v>500</v>
      </c>
      <c r="F69" s="1062">
        <f t="shared" si="38"/>
        <v>26899.999999999884</v>
      </c>
      <c r="G69" s="1062">
        <f t="shared" si="38"/>
        <v>0</v>
      </c>
      <c r="H69" s="1062">
        <f t="shared" si="38"/>
        <v>26700.183000000077</v>
      </c>
      <c r="I69" s="1062">
        <f t="shared" si="38"/>
        <v>3000.0000000000146</v>
      </c>
      <c r="J69" s="1062">
        <f t="shared" si="38"/>
        <v>2999.9999999999854</v>
      </c>
      <c r="K69" s="1062">
        <f t="shared" si="38"/>
        <v>8500</v>
      </c>
      <c r="L69" s="1062">
        <f t="shared" si="38"/>
        <v>8499.9999999998836</v>
      </c>
      <c r="N69" s="442"/>
      <c r="AF69" s="442"/>
      <c r="AL69" s="442"/>
      <c r="AR69" s="442"/>
    </row>
    <row r="70" spans="1:44" s="85" customFormat="1" x14ac:dyDescent="0.2">
      <c r="A70" s="1059"/>
      <c r="B70" s="1060"/>
      <c r="C70" s="1060"/>
      <c r="D70" s="1061"/>
      <c r="E70" s="1061"/>
      <c r="F70" s="1061"/>
      <c r="G70" s="1058"/>
      <c r="H70" s="1061"/>
      <c r="I70" s="1061"/>
      <c r="J70" s="1061"/>
      <c r="K70" s="1061"/>
      <c r="L70" s="1061"/>
      <c r="N70" s="442"/>
      <c r="AF70" s="442"/>
      <c r="AL70" s="442"/>
      <c r="AR70" s="442"/>
    </row>
    <row r="71" spans="1:44" s="85" customFormat="1" ht="15.75" x14ac:dyDescent="0.25">
      <c r="A71" s="1055" t="s">
        <v>472</v>
      </c>
      <c r="B71" s="1056">
        <f>D71+F71+I71+K71</f>
        <v>6034501.9562300006</v>
      </c>
      <c r="C71" s="1056">
        <f>E71+H71+J71+L71</f>
        <v>3389548.9862699998</v>
      </c>
      <c r="D71" s="1057">
        <f>J33/1000</f>
        <v>2699004.9844200001</v>
      </c>
      <c r="E71" s="1057">
        <f>AN33/1000</f>
        <v>1612871.5431499996</v>
      </c>
      <c r="F71" s="1057">
        <f>J29/1000</f>
        <v>2581102.0484500006</v>
      </c>
      <c r="G71" s="1058"/>
      <c r="H71" s="1057">
        <f>AN29/1000</f>
        <v>1347079.3534499998</v>
      </c>
      <c r="I71" s="1057">
        <f>AB36/1000</f>
        <v>480888.71609</v>
      </c>
      <c r="J71" s="1057">
        <f>BF36/1000</f>
        <v>350782.48440000002</v>
      </c>
      <c r="K71" s="1057">
        <f>V36/1000</f>
        <v>273506.20726999996</v>
      </c>
      <c r="L71" s="1057">
        <f>AZ36/1000</f>
        <v>78815.605269999956</v>
      </c>
      <c r="N71" s="442"/>
      <c r="AF71" s="442"/>
      <c r="AL71" s="442"/>
      <c r="AR71" s="442"/>
    </row>
    <row r="72" spans="1:44" s="85" customFormat="1" x14ac:dyDescent="0.2">
      <c r="A72" s="1059"/>
      <c r="B72" s="1060"/>
      <c r="C72" s="1060"/>
      <c r="D72" s="1061"/>
      <c r="E72" s="1061"/>
      <c r="F72" s="1061"/>
      <c r="G72" s="1058"/>
      <c r="H72" s="1061"/>
      <c r="I72" s="1061"/>
      <c r="J72" s="1061"/>
      <c r="K72" s="1061"/>
      <c r="L72" s="1061"/>
      <c r="N72" s="442"/>
      <c r="AF72" s="442"/>
      <c r="AL72" s="442"/>
      <c r="AR72" s="442"/>
    </row>
    <row r="73" spans="1:44" s="85" customFormat="1" ht="15.75" x14ac:dyDescent="0.25">
      <c r="A73" s="1055" t="s">
        <v>473</v>
      </c>
      <c r="B73" s="1056">
        <f>D73+F73+I73+K73</f>
        <v>2242626.87005</v>
      </c>
      <c r="C73" s="1056">
        <f>E73+H73+J73+L73</f>
        <v>1498173.1019099997</v>
      </c>
      <c r="D73" s="1057">
        <f>'Проверочная  таблица'!D55</f>
        <v>954210.48882999993</v>
      </c>
      <c r="E73" s="1057">
        <f>'Проверочная  таблица'!E55</f>
        <v>720021.81222999992</v>
      </c>
      <c r="F73" s="1057">
        <f>'Проверочная  таблица'!D54</f>
        <v>1059580.0631600001</v>
      </c>
      <c r="G73" s="1058"/>
      <c r="H73" s="1057">
        <f>'Проверочная  таблица'!E54</f>
        <v>585972.35892000003</v>
      </c>
      <c r="I73" s="1057">
        <f>'Проверочная  таблица'!D60</f>
        <v>211450.97578000004</v>
      </c>
      <c r="J73" s="1057">
        <f>'Проверочная  таблица'!E60</f>
        <v>177001.33320000002</v>
      </c>
      <c r="K73" s="1057">
        <f>'Проверочная  таблица'!D59</f>
        <v>17385.342280000001</v>
      </c>
      <c r="L73" s="1057">
        <f>'Проверочная  таблица'!E59</f>
        <v>15177.597560000002</v>
      </c>
      <c r="N73" s="442"/>
      <c r="AF73" s="442"/>
      <c r="AL73" s="442"/>
      <c r="AR73" s="442"/>
    </row>
    <row r="74" spans="1:44" s="85" customFormat="1" x14ac:dyDescent="0.2">
      <c r="A74" s="1059"/>
      <c r="B74" s="1060"/>
      <c r="C74" s="1060"/>
      <c r="D74" s="1061"/>
      <c r="E74" s="1061"/>
      <c r="F74" s="1061"/>
      <c r="G74" s="1058"/>
      <c r="H74" s="1061"/>
      <c r="I74" s="1061"/>
      <c r="J74" s="1061"/>
      <c r="K74" s="1061"/>
      <c r="L74" s="1061"/>
      <c r="N74" s="442"/>
      <c r="AF74" s="442"/>
      <c r="AL74" s="442"/>
      <c r="AR74" s="442"/>
    </row>
    <row r="75" spans="1:44" s="85" customFormat="1" ht="15.75" x14ac:dyDescent="0.25">
      <c r="A75" s="1055" t="s">
        <v>474</v>
      </c>
      <c r="B75" s="1056">
        <f>D75+F75+I75+K75</f>
        <v>12274004.483219998</v>
      </c>
      <c r="C75" s="1056">
        <f>E75+H75+J75+L75</f>
        <v>9161039.4808599986</v>
      </c>
      <c r="D75" s="1057">
        <f>K33/1000</f>
        <v>6069406.4564899988</v>
      </c>
      <c r="E75" s="1057">
        <f>AO33/1000</f>
        <v>4420172.6796499994</v>
      </c>
      <c r="F75" s="1057">
        <f>K29/1000</f>
        <v>6172522.0267299991</v>
      </c>
      <c r="G75" s="1058"/>
      <c r="H75" s="1057">
        <f>AO29/1000</f>
        <v>4720014.1105099991</v>
      </c>
      <c r="I75" s="1057"/>
      <c r="J75" s="1057"/>
      <c r="K75" s="1057">
        <f>W36/1000</f>
        <v>32076</v>
      </c>
      <c r="L75" s="1057">
        <f>BA36/1000</f>
        <v>20852.690699999999</v>
      </c>
      <c r="N75" s="442"/>
      <c r="AF75" s="442"/>
      <c r="AL75" s="442"/>
      <c r="AR75" s="442"/>
    </row>
    <row r="76" spans="1:44" s="85" customFormat="1" x14ac:dyDescent="0.2">
      <c r="A76" s="1059"/>
      <c r="B76" s="1060"/>
      <c r="C76" s="1060"/>
      <c r="D76" s="1061"/>
      <c r="E76" s="1061"/>
      <c r="F76" s="1061"/>
      <c r="G76" s="1058"/>
      <c r="H76" s="1061"/>
      <c r="I76" s="1061"/>
      <c r="J76" s="1061"/>
      <c r="K76" s="1061"/>
      <c r="L76" s="1061"/>
      <c r="N76" s="442"/>
      <c r="AF76" s="442"/>
      <c r="AL76" s="442"/>
      <c r="AR76" s="442"/>
    </row>
    <row r="77" spans="1:44" s="85" customFormat="1" ht="15.75" x14ac:dyDescent="0.25">
      <c r="A77" s="1055" t="s">
        <v>475</v>
      </c>
      <c r="B77" s="1056">
        <f>D77+F77+I77+K77</f>
        <v>1914974.61253</v>
      </c>
      <c r="C77" s="1056">
        <f>E77+H77+J77+L77</f>
        <v>1517700.3035899999</v>
      </c>
      <c r="D77" s="1057">
        <f>L33/1000</f>
        <v>992389.93134000001</v>
      </c>
      <c r="E77" s="1057">
        <f>AP33/1000</f>
        <v>893040.33369999996</v>
      </c>
      <c r="F77" s="1057">
        <f>L29/1000</f>
        <v>528891.06865999999</v>
      </c>
      <c r="G77" s="1058"/>
      <c r="H77" s="1057">
        <f>AP29/1000</f>
        <v>354342.93554999999</v>
      </c>
      <c r="I77" s="1057">
        <f>AD36/1000</f>
        <v>280310.58879000001</v>
      </c>
      <c r="J77" s="1057">
        <f>BH36/1000</f>
        <v>173345.44495999996</v>
      </c>
      <c r="K77" s="1057">
        <f>X36/1000</f>
        <v>113383.02374</v>
      </c>
      <c r="L77" s="1057">
        <f>BB36/1000</f>
        <v>96971.589380000019</v>
      </c>
      <c r="N77" s="442"/>
      <c r="AF77" s="442"/>
      <c r="AL77" s="442"/>
      <c r="AR77" s="442"/>
    </row>
    <row r="78" spans="1:44" s="85" customFormat="1" x14ac:dyDescent="0.2">
      <c r="B78" s="1064"/>
      <c r="C78" s="1064"/>
      <c r="D78" s="1064"/>
      <c r="E78" s="1064"/>
      <c r="F78" s="1064"/>
      <c r="G78" s="1058"/>
      <c r="H78" s="1064"/>
      <c r="I78" s="1064"/>
      <c r="J78" s="1064"/>
      <c r="K78" s="1064"/>
      <c r="L78" s="1064"/>
      <c r="N78" s="442"/>
      <c r="AF78" s="442"/>
      <c r="AL78" s="442"/>
      <c r="AR78" s="442"/>
    </row>
    <row r="79" spans="1:44" s="85" customFormat="1" ht="15.75" x14ac:dyDescent="0.25">
      <c r="B79" s="1065">
        <f t="shared" ref="B79:C79" si="39">B64-B66-B71-B75-B77</f>
        <v>0</v>
      </c>
      <c r="C79" s="1065">
        <f t="shared" si="39"/>
        <v>3.4924596548080444E-9</v>
      </c>
      <c r="D79" s="1065">
        <f>D64-D66-D71-D75-D77</f>
        <v>0</v>
      </c>
      <c r="E79" s="1065">
        <f t="shared" ref="E79:F79" si="40">E64-E66-E71-E75-E77</f>
        <v>0</v>
      </c>
      <c r="F79" s="1065">
        <f t="shared" si="40"/>
        <v>-1.5133991837501526E-9</v>
      </c>
      <c r="G79" s="1058"/>
      <c r="H79" s="1065">
        <f>H64-H66-H71-H75-H77</f>
        <v>5.2386894822120667E-10</v>
      </c>
      <c r="I79" s="1065">
        <f>I64-I66-I71-I75-I77</f>
        <v>0</v>
      </c>
      <c r="J79" s="1065">
        <f>J64-J66-J71-J75-J77</f>
        <v>0</v>
      </c>
      <c r="K79" s="1065">
        <f>K64-K66-K71-K75-K77</f>
        <v>0</v>
      </c>
      <c r="L79" s="1065">
        <f>L64-L66-L71-L75-L77</f>
        <v>1.4551915228366852E-10</v>
      </c>
      <c r="N79" s="442"/>
      <c r="AF79" s="442"/>
      <c r="AL79" s="442"/>
      <c r="AR79" s="442"/>
    </row>
  </sheetData>
  <mergeCells count="34">
    <mergeCell ref="B6:AE7"/>
    <mergeCell ref="H9:H10"/>
    <mergeCell ref="C8:G9"/>
    <mergeCell ref="AR9:AR10"/>
    <mergeCell ref="A6:A10"/>
    <mergeCell ref="I9:M9"/>
    <mergeCell ref="O9:S9"/>
    <mergeCell ref="B8:B10"/>
    <mergeCell ref="N9:N10"/>
    <mergeCell ref="Z9:Z10"/>
    <mergeCell ref="T9:T10"/>
    <mergeCell ref="AA9:AE9"/>
    <mergeCell ref="H8:S8"/>
    <mergeCell ref="AX8:BC8"/>
    <mergeCell ref="AS9:AW9"/>
    <mergeCell ref="AF6:BI7"/>
    <mergeCell ref="U9:Y9"/>
    <mergeCell ref="BD9:BD10"/>
    <mergeCell ref="BD8:BI8"/>
    <mergeCell ref="AY9:BC9"/>
    <mergeCell ref="AM9:AQ9"/>
    <mergeCell ref="BE9:BI9"/>
    <mergeCell ref="AL9:AL10"/>
    <mergeCell ref="AX9:AX10"/>
    <mergeCell ref="AL8:AW8"/>
    <mergeCell ref="AG8:AK9"/>
    <mergeCell ref="T8:Y8"/>
    <mergeCell ref="AF8:AF10"/>
    <mergeCell ref="Z8:AE8"/>
    <mergeCell ref="A57:L57"/>
    <mergeCell ref="A51:L51"/>
    <mergeCell ref="A52:L52"/>
    <mergeCell ref="A44:K44"/>
    <mergeCell ref="A53:L53"/>
  </mergeCells>
  <phoneticPr fontId="0" type="noConversion"/>
  <pageMargins left="0.78740157480314965" right="0.39370078740157483" top="0.78740157480314965" bottom="0.59055118110236227" header="0.51181102362204722" footer="0.51181102362204722"/>
  <pageSetup paperSize="8" scale="80" fitToWidth="3" orientation="landscape" r:id="rId1"/>
  <headerFooter alignWithMargins="0">
    <oddFooter>&amp;L&amp;P&amp;R&amp;F&amp;A</oddFooter>
  </headerFooter>
  <colBreaks count="4" manualBreakCount="4">
    <brk id="13" max="1048575" man="1"/>
    <brk id="25" max="1048575" man="1"/>
    <brk id="37" max="1048575" man="1"/>
    <brk id="4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2:CZ45"/>
  <sheetViews>
    <sheetView view="pageBreakPreview" topLeftCell="A2" zoomScale="50" zoomScaleNormal="50" zoomScaleSheetLayoutView="50" workbookViewId="0">
      <pane xSplit="3" ySplit="9" topLeftCell="AP35" activePane="bottomRight" state="frozen"/>
      <selection activeCell="A2" sqref="A2"/>
      <selection pane="topRight" activeCell="D2" sqref="D2"/>
      <selection pane="bottomLeft" activeCell="A11" sqref="A11"/>
      <selection pane="bottomRight" activeCell="AG27" sqref="AG27"/>
    </sheetView>
  </sheetViews>
  <sheetFormatPr defaultColWidth="9.140625" defaultRowHeight="12.75" x14ac:dyDescent="0.2"/>
  <cols>
    <col min="1" max="1" width="24.140625" style="88" customWidth="1"/>
    <col min="2" max="3" width="23.85546875" style="88" bestFit="1" customWidth="1"/>
    <col min="4" max="5" width="23.42578125" style="88" customWidth="1"/>
    <col min="6" max="9" width="21.85546875" style="88" customWidth="1"/>
    <col min="10" max="11" width="31.140625" style="88" customWidth="1"/>
    <col min="12" max="17" width="21.85546875" style="88" customWidth="1"/>
    <col min="18" max="23" width="22.85546875" style="88" customWidth="1"/>
    <col min="24" max="31" width="24.140625" style="88" customWidth="1"/>
    <col min="32" max="33" width="24.85546875" style="88" customWidth="1"/>
    <col min="34" max="39" width="22.85546875" style="88" customWidth="1"/>
    <col min="40" max="41" width="36.42578125" style="88" customWidth="1"/>
    <col min="42" max="45" width="22.5703125" style="88" customWidth="1"/>
    <col min="46" max="47" width="25.7109375" style="88" customWidth="1"/>
    <col min="48" max="51" width="22.5703125" style="88" customWidth="1"/>
    <col min="52" max="53" width="23.140625" style="88" customWidth="1"/>
    <col min="54" max="55" width="34.42578125" style="88" customWidth="1"/>
    <col min="56" max="56" width="30.140625" style="88" customWidth="1"/>
    <col min="57" max="57" width="28.85546875" style="88" customWidth="1"/>
    <col min="58" max="65" width="24.28515625" style="88" customWidth="1"/>
    <col min="66" max="66" width="24.140625" style="88" customWidth="1"/>
    <col min="67" max="67" width="24.5703125" style="88" customWidth="1"/>
    <col min="68" max="68" width="22.85546875" style="88" customWidth="1"/>
    <col min="69" max="73" width="20.42578125" style="88" customWidth="1"/>
    <col min="74" max="77" width="20.5703125" style="88" customWidth="1"/>
    <col min="78" max="78" width="24.42578125" style="88" customWidth="1"/>
    <col min="79" max="79" width="23.85546875" style="88" customWidth="1"/>
    <col min="80" max="81" width="20.5703125" style="88" customWidth="1"/>
    <col min="82" max="83" width="21.85546875" style="88" customWidth="1"/>
    <col min="84" max="84" width="23.5703125" style="88" customWidth="1"/>
    <col min="85" max="85" width="22.85546875" style="88" customWidth="1"/>
    <col min="86" max="91" width="23.85546875" style="88" customWidth="1"/>
    <col min="92" max="93" width="25.5703125" style="88" customWidth="1"/>
    <col min="94" max="99" width="21.85546875" style="88" customWidth="1"/>
    <col min="100" max="101" width="22.5703125" style="88" customWidth="1"/>
    <col min="102" max="102" width="9.140625" style="88"/>
    <col min="103" max="104" width="14.5703125" style="88" bestFit="1" customWidth="1"/>
    <col min="105" max="16384" width="9.140625" style="88"/>
  </cols>
  <sheetData>
    <row r="2" spans="1:104" ht="19.5" x14ac:dyDescent="0.3">
      <c r="E2" s="86" t="s">
        <v>255</v>
      </c>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row>
    <row r="3" spans="1:104" ht="19.5" x14ac:dyDescent="0.3">
      <c r="F3" s="1591" t="str">
        <f>'Район  и  поселения'!E3</f>
        <v>ПО  СОСТОЯНИЮ  НА  1  ОКТЯБРЯ  2021  ГОДА</v>
      </c>
    </row>
    <row r="4" spans="1:104" ht="15.75" x14ac:dyDescent="0.25">
      <c r="B4" s="89"/>
      <c r="C4" s="89"/>
    </row>
    <row r="5" spans="1:104" ht="17.25" thickBot="1" x14ac:dyDescent="0.3">
      <c r="D5" s="90"/>
      <c r="CN5" s="140"/>
      <c r="CR5" s="997"/>
      <c r="CS5" s="997"/>
      <c r="CT5" s="997"/>
      <c r="CU5" s="997"/>
      <c r="CV5" s="997" t="s">
        <v>20</v>
      </c>
      <c r="CW5" s="997"/>
    </row>
    <row r="6" spans="1:104" ht="27" customHeight="1" thickBot="1" x14ac:dyDescent="0.25">
      <c r="A6" s="1850" t="s">
        <v>64</v>
      </c>
      <c r="B6" s="1874" t="s">
        <v>1</v>
      </c>
      <c r="C6" s="1875"/>
      <c r="D6" s="1142"/>
      <c r="E6" s="1143"/>
      <c r="F6" s="1143"/>
      <c r="G6" s="1143"/>
      <c r="H6" s="1143"/>
      <c r="I6" s="1143" t="s">
        <v>38</v>
      </c>
      <c r="J6" s="1143"/>
      <c r="K6" s="1143"/>
      <c r="L6" s="1143"/>
      <c r="M6" s="1143"/>
      <c r="N6" s="1143"/>
      <c r="O6" s="1143"/>
      <c r="P6" s="1143"/>
      <c r="Q6" s="1143"/>
      <c r="R6" s="1143"/>
      <c r="S6" s="1143"/>
      <c r="T6" s="1143"/>
      <c r="U6" s="1143"/>
      <c r="V6" s="1143"/>
      <c r="W6" s="1143"/>
      <c r="X6" s="1143"/>
      <c r="Y6" s="1143"/>
      <c r="Z6" s="1143"/>
      <c r="AA6" s="1143"/>
      <c r="AB6" s="1143"/>
      <c r="AC6" s="1143"/>
      <c r="AD6" s="1143"/>
      <c r="AE6" s="1143"/>
      <c r="AF6" s="1143"/>
      <c r="AG6" s="1143"/>
      <c r="AH6" s="1143"/>
      <c r="AI6" s="1143"/>
      <c r="AJ6" s="1143"/>
      <c r="AK6" s="1143"/>
      <c r="AL6" s="1143"/>
      <c r="AM6" s="1143"/>
      <c r="AN6" s="1143"/>
      <c r="AO6" s="1143"/>
      <c r="AP6" s="1143"/>
      <c r="AQ6" s="1143"/>
      <c r="AR6" s="1143"/>
      <c r="AS6" s="1143"/>
      <c r="AT6" s="1143"/>
      <c r="AU6" s="1143"/>
      <c r="AV6" s="1143"/>
      <c r="AW6" s="1143"/>
      <c r="AX6" s="1143"/>
      <c r="AY6" s="1143"/>
      <c r="AZ6" s="1143"/>
      <c r="BA6" s="1143"/>
      <c r="BB6" s="1143"/>
      <c r="BC6" s="1143"/>
      <c r="BD6" s="1143"/>
      <c r="BE6" s="1143"/>
      <c r="BF6" s="1143"/>
      <c r="BG6" s="1143"/>
      <c r="BH6" s="1143"/>
      <c r="BI6" s="1143"/>
      <c r="BJ6" s="1143"/>
      <c r="BK6" s="1143"/>
      <c r="BL6" s="1143"/>
      <c r="BM6" s="1143"/>
      <c r="BN6" s="1143"/>
      <c r="BO6" s="1143"/>
      <c r="BP6" s="1143"/>
      <c r="BQ6" s="1143"/>
      <c r="BR6" s="1143"/>
      <c r="BS6" s="1143"/>
      <c r="BT6" s="1143"/>
      <c r="BU6" s="1143"/>
      <c r="BV6" s="1143"/>
      <c r="BW6" s="1143"/>
      <c r="BX6" s="1143"/>
      <c r="BY6" s="1143"/>
      <c r="BZ6" s="1143"/>
      <c r="CA6" s="1143"/>
      <c r="CB6" s="1143"/>
      <c r="CC6" s="1143"/>
      <c r="CD6" s="1143"/>
      <c r="CE6" s="1143"/>
      <c r="CF6" s="1143"/>
      <c r="CG6" s="1143"/>
      <c r="CH6" s="1143"/>
      <c r="CI6" s="1143"/>
      <c r="CJ6" s="1143"/>
      <c r="CK6" s="1143"/>
      <c r="CL6" s="1143"/>
      <c r="CM6" s="1143"/>
      <c r="CN6" s="1143"/>
      <c r="CO6" s="1143"/>
      <c r="CP6" s="1143"/>
      <c r="CQ6" s="1143"/>
      <c r="CR6" s="1143"/>
      <c r="CS6" s="1143"/>
      <c r="CT6" s="1143"/>
      <c r="CU6" s="1143"/>
      <c r="CV6" s="1143"/>
      <c r="CW6" s="1144"/>
    </row>
    <row r="7" spans="1:104" ht="47.1" customHeight="1" thickBot="1" x14ac:dyDescent="0.25">
      <c r="A7" s="1851"/>
      <c r="B7" s="1876"/>
      <c r="C7" s="1877"/>
      <c r="D7" s="1843" t="s">
        <v>647</v>
      </c>
      <c r="E7" s="1844"/>
      <c r="F7" s="1844"/>
      <c r="G7" s="1844"/>
      <c r="H7" s="1844"/>
      <c r="I7" s="1844"/>
      <c r="J7" s="1844"/>
      <c r="K7" s="1844"/>
      <c r="L7" s="1844"/>
      <c r="M7" s="1844"/>
      <c r="N7" s="1138"/>
      <c r="O7" s="1138"/>
      <c r="P7" s="1138"/>
      <c r="Q7" s="1138"/>
      <c r="R7" s="1138"/>
      <c r="S7" s="1138"/>
      <c r="T7" s="1138"/>
      <c r="U7" s="1138"/>
      <c r="V7" s="1138"/>
      <c r="W7" s="1138"/>
      <c r="X7" s="1138"/>
      <c r="Y7" s="1138"/>
      <c r="Z7" s="1138"/>
      <c r="AA7" s="1138"/>
      <c r="AB7" s="1138"/>
      <c r="AC7" s="1138"/>
      <c r="AD7" s="1138"/>
      <c r="AE7" s="1138"/>
      <c r="AF7" s="1138"/>
      <c r="AG7" s="1138"/>
      <c r="AH7" s="1138"/>
      <c r="AI7" s="1138"/>
      <c r="AJ7" s="1138"/>
      <c r="AK7" s="1138"/>
      <c r="AL7" s="1138"/>
      <c r="AM7" s="1138"/>
      <c r="AN7" s="1138"/>
      <c r="AO7" s="1138"/>
      <c r="AP7" s="1138"/>
      <c r="AQ7" s="1138"/>
      <c r="AR7" s="1138"/>
      <c r="AS7" s="1138"/>
      <c r="AT7" s="1138"/>
      <c r="AU7" s="1138"/>
      <c r="AV7" s="1138"/>
      <c r="AW7" s="1138"/>
      <c r="AX7" s="1138"/>
      <c r="AY7" s="1138"/>
      <c r="AZ7" s="1138"/>
      <c r="BA7" s="1138"/>
      <c r="BB7" s="1138"/>
      <c r="BC7" s="1138"/>
      <c r="BD7" s="1138"/>
      <c r="BE7" s="1138"/>
      <c r="BF7" s="1138"/>
      <c r="BG7" s="1138"/>
      <c r="BH7" s="1569"/>
      <c r="BI7" s="1569"/>
      <c r="BJ7" s="1569"/>
      <c r="BK7" s="1569"/>
      <c r="BL7" s="1569"/>
      <c r="BM7" s="1569"/>
      <c r="BN7" s="1843" t="s">
        <v>646</v>
      </c>
      <c r="BO7" s="1844"/>
      <c r="BP7" s="1844"/>
      <c r="BQ7" s="1844"/>
      <c r="BR7" s="1411"/>
      <c r="BS7" s="1411"/>
      <c r="BT7" s="1411"/>
      <c r="BU7" s="1411"/>
      <c r="BV7" s="1411"/>
      <c r="BW7" s="1411"/>
      <c r="BX7" s="1411"/>
      <c r="BY7" s="1411"/>
      <c r="BZ7" s="1411"/>
      <c r="CA7" s="1411"/>
      <c r="CB7" s="1411"/>
      <c r="CC7" s="1411"/>
      <c r="CD7" s="1411"/>
      <c r="CE7" s="1429"/>
      <c r="CF7" s="1868" t="s">
        <v>418</v>
      </c>
      <c r="CG7" s="1869"/>
      <c r="CH7" s="1869"/>
      <c r="CI7" s="1869"/>
      <c r="CJ7" s="1869"/>
      <c r="CK7" s="1869"/>
      <c r="CL7" s="1869"/>
      <c r="CM7" s="1869"/>
      <c r="CN7" s="1869"/>
      <c r="CO7" s="1869"/>
      <c r="CP7" s="1869"/>
      <c r="CQ7" s="1869"/>
      <c r="CR7" s="1869"/>
      <c r="CS7" s="1869"/>
      <c r="CT7" s="1869"/>
      <c r="CU7" s="1869"/>
      <c r="CV7" s="1869"/>
      <c r="CW7" s="1870"/>
    </row>
    <row r="8" spans="1:104" ht="99.6" customHeight="1" thickBot="1" x14ac:dyDescent="0.25">
      <c r="A8" s="1851"/>
      <c r="B8" s="1876"/>
      <c r="C8" s="1878"/>
      <c r="D8" s="1851" t="s">
        <v>16</v>
      </c>
      <c r="E8" s="1872" t="s">
        <v>17</v>
      </c>
      <c r="F8" s="1882" t="s">
        <v>492</v>
      </c>
      <c r="G8" s="1883"/>
      <c r="H8" s="1882" t="s">
        <v>535</v>
      </c>
      <c r="I8" s="1883"/>
      <c r="J8" s="1889" t="s">
        <v>637</v>
      </c>
      <c r="K8" s="1890"/>
      <c r="L8" s="1890"/>
      <c r="M8" s="1891"/>
      <c r="N8" s="1849" t="s">
        <v>565</v>
      </c>
      <c r="O8" s="1849"/>
      <c r="P8" s="1889" t="s">
        <v>424</v>
      </c>
      <c r="Q8" s="1890"/>
      <c r="R8" s="1890"/>
      <c r="S8" s="1890"/>
      <c r="T8" s="1890"/>
      <c r="U8" s="1891"/>
      <c r="V8" s="1889" t="s">
        <v>449</v>
      </c>
      <c r="W8" s="1891"/>
      <c r="X8" s="1872" t="s">
        <v>566</v>
      </c>
      <c r="Y8" s="1885"/>
      <c r="Z8" s="1872" t="s">
        <v>567</v>
      </c>
      <c r="AA8" s="1885"/>
      <c r="AB8" s="1872" t="s">
        <v>692</v>
      </c>
      <c r="AC8" s="1885"/>
      <c r="AD8" s="1872" t="s">
        <v>697</v>
      </c>
      <c r="AE8" s="1885"/>
      <c r="AF8" s="1852" t="s">
        <v>906</v>
      </c>
      <c r="AG8" s="1853"/>
      <c r="AH8" s="1872" t="s">
        <v>674</v>
      </c>
      <c r="AI8" s="1849"/>
      <c r="AJ8" s="1882" t="s">
        <v>412</v>
      </c>
      <c r="AK8" s="1883"/>
      <c r="AL8" s="1872" t="s">
        <v>624</v>
      </c>
      <c r="AM8" s="1885"/>
      <c r="AN8" s="1864" t="s">
        <v>369</v>
      </c>
      <c r="AO8" s="1892"/>
      <c r="AP8" s="1892"/>
      <c r="AQ8" s="1892"/>
      <c r="AR8" s="1892"/>
      <c r="AS8" s="1892"/>
      <c r="AT8" s="1892"/>
      <c r="AU8" s="1881"/>
      <c r="AV8" s="1872" t="s">
        <v>366</v>
      </c>
      <c r="AW8" s="1885"/>
      <c r="AX8" s="1864" t="s">
        <v>614</v>
      </c>
      <c r="AY8" s="1865"/>
      <c r="AZ8" s="1889" t="s">
        <v>590</v>
      </c>
      <c r="BA8" s="1891"/>
      <c r="BB8" s="1864" t="s">
        <v>564</v>
      </c>
      <c r="BC8" s="1881"/>
      <c r="BD8" s="1889" t="s">
        <v>587</v>
      </c>
      <c r="BE8" s="1890"/>
      <c r="BF8" s="1410"/>
      <c r="BG8" s="1608"/>
      <c r="BH8" s="1570"/>
      <c r="BI8" s="1410"/>
      <c r="BJ8" s="1410"/>
      <c r="BK8" s="1410"/>
      <c r="BL8" s="1864" t="s">
        <v>857</v>
      </c>
      <c r="BM8" s="1881"/>
      <c r="BN8" s="1896" t="s">
        <v>16</v>
      </c>
      <c r="BO8" s="1850" t="s">
        <v>17</v>
      </c>
      <c r="BP8" s="1872" t="s">
        <v>413</v>
      </c>
      <c r="BQ8" s="1885"/>
      <c r="BR8" s="1872" t="s">
        <v>414</v>
      </c>
      <c r="BS8" s="1885"/>
      <c r="BT8" s="1872" t="s">
        <v>415</v>
      </c>
      <c r="BU8" s="1885"/>
      <c r="BV8" s="1872" t="s">
        <v>417</v>
      </c>
      <c r="BW8" s="1885"/>
      <c r="BX8" s="1900" t="s">
        <v>336</v>
      </c>
      <c r="BY8" s="1901"/>
      <c r="BZ8" s="1898" t="s">
        <v>712</v>
      </c>
      <c r="CA8" s="1899"/>
      <c r="CB8" s="1852" t="s">
        <v>730</v>
      </c>
      <c r="CC8" s="1860"/>
      <c r="CD8" s="1852" t="s">
        <v>416</v>
      </c>
      <c r="CE8" s="1853"/>
      <c r="CF8" s="1849" t="s">
        <v>16</v>
      </c>
      <c r="CG8" s="1850" t="s">
        <v>17</v>
      </c>
      <c r="CH8" s="1862" t="s">
        <v>788</v>
      </c>
      <c r="CI8" s="1863"/>
      <c r="CJ8" s="1858" t="s">
        <v>868</v>
      </c>
      <c r="CK8" s="1897"/>
      <c r="CL8" s="1897"/>
      <c r="CM8" s="1859"/>
      <c r="CN8" s="1856" t="s">
        <v>508</v>
      </c>
      <c r="CO8" s="1857"/>
      <c r="CP8" s="1862" t="s">
        <v>739</v>
      </c>
      <c r="CQ8" s="1863"/>
      <c r="CR8" s="1900" t="s">
        <v>544</v>
      </c>
      <c r="CS8" s="1901"/>
      <c r="CT8" s="1858" t="s">
        <v>550</v>
      </c>
      <c r="CU8" s="1897"/>
      <c r="CV8" s="1897"/>
      <c r="CW8" s="1859"/>
    </row>
    <row r="9" spans="1:104" ht="177.6" customHeight="1" thickBot="1" x14ac:dyDescent="0.25">
      <c r="A9" s="1851"/>
      <c r="B9" s="1879"/>
      <c r="C9" s="1880"/>
      <c r="D9" s="1851"/>
      <c r="E9" s="1872"/>
      <c r="F9" s="1873"/>
      <c r="G9" s="1884"/>
      <c r="H9" s="1873"/>
      <c r="I9" s="1884"/>
      <c r="J9" s="1887" t="s">
        <v>321</v>
      </c>
      <c r="K9" s="1888"/>
      <c r="L9" s="1887" t="s">
        <v>249</v>
      </c>
      <c r="M9" s="1888"/>
      <c r="N9" s="1886"/>
      <c r="O9" s="1886"/>
      <c r="P9" s="1864" t="s">
        <v>499</v>
      </c>
      <c r="Q9" s="1881"/>
      <c r="R9" s="1866" t="s">
        <v>503</v>
      </c>
      <c r="S9" s="1867"/>
      <c r="T9" s="1892" t="s">
        <v>821</v>
      </c>
      <c r="U9" s="1881"/>
      <c r="V9" s="1864" t="s">
        <v>505</v>
      </c>
      <c r="W9" s="1881"/>
      <c r="X9" s="1873"/>
      <c r="Y9" s="1884"/>
      <c r="Z9" s="1873"/>
      <c r="AA9" s="1884"/>
      <c r="AB9" s="1873"/>
      <c r="AC9" s="1884"/>
      <c r="AD9" s="1873"/>
      <c r="AE9" s="1884"/>
      <c r="AF9" s="1854"/>
      <c r="AG9" s="1855"/>
      <c r="AH9" s="1873"/>
      <c r="AI9" s="1886"/>
      <c r="AJ9" s="1873"/>
      <c r="AK9" s="1884"/>
      <c r="AL9" s="1873"/>
      <c r="AM9" s="1884"/>
      <c r="AN9" s="1873" t="s">
        <v>318</v>
      </c>
      <c r="AO9" s="1884"/>
      <c r="AP9" s="1873" t="s">
        <v>726</v>
      </c>
      <c r="AQ9" s="1884"/>
      <c r="AR9" s="1864" t="s">
        <v>945</v>
      </c>
      <c r="AS9" s="1881"/>
      <c r="AT9" s="1873" t="s">
        <v>927</v>
      </c>
      <c r="AU9" s="1884"/>
      <c r="AV9" s="1873"/>
      <c r="AW9" s="1886"/>
      <c r="AX9" s="1864" t="s">
        <v>574</v>
      </c>
      <c r="AY9" s="1865"/>
      <c r="AZ9" s="1864" t="s">
        <v>589</v>
      </c>
      <c r="BA9" s="1881"/>
      <c r="BB9" s="1864" t="s">
        <v>568</v>
      </c>
      <c r="BC9" s="1881"/>
      <c r="BD9" s="1892" t="s">
        <v>785</v>
      </c>
      <c r="BE9" s="1881"/>
      <c r="BF9" s="1864" t="s">
        <v>256</v>
      </c>
      <c r="BG9" s="1881"/>
      <c r="BH9" s="1873" t="s">
        <v>826</v>
      </c>
      <c r="BI9" s="1884"/>
      <c r="BJ9" s="1886" t="s">
        <v>854</v>
      </c>
      <c r="BK9" s="1884"/>
      <c r="BL9" s="1886" t="s">
        <v>853</v>
      </c>
      <c r="BM9" s="1884"/>
      <c r="BN9" s="1872"/>
      <c r="BO9" s="1851"/>
      <c r="BP9" s="1873"/>
      <c r="BQ9" s="1884"/>
      <c r="BR9" s="1873"/>
      <c r="BS9" s="1884"/>
      <c r="BT9" s="1873"/>
      <c r="BU9" s="1884"/>
      <c r="BV9" s="1873"/>
      <c r="BW9" s="1884"/>
      <c r="BX9" s="1856"/>
      <c r="BY9" s="1857"/>
      <c r="BZ9" s="1854"/>
      <c r="CA9" s="1855"/>
      <c r="CB9" s="1854"/>
      <c r="CC9" s="1861"/>
      <c r="CD9" s="1854"/>
      <c r="CE9" s="1855"/>
      <c r="CF9" s="1849"/>
      <c r="CG9" s="1851"/>
      <c r="CH9" s="1856"/>
      <c r="CI9" s="1857"/>
      <c r="CJ9" s="1858" t="s">
        <v>867</v>
      </c>
      <c r="CK9" s="1859"/>
      <c r="CL9" s="1858" t="s">
        <v>936</v>
      </c>
      <c r="CM9" s="1859"/>
      <c r="CN9" s="1858" t="s">
        <v>507</v>
      </c>
      <c r="CO9" s="1859"/>
      <c r="CP9" s="1856"/>
      <c r="CQ9" s="1857"/>
      <c r="CR9" s="1856"/>
      <c r="CS9" s="1857"/>
      <c r="CT9" s="1858" t="s">
        <v>916</v>
      </c>
      <c r="CU9" s="1859"/>
      <c r="CV9" s="1858" t="s">
        <v>917</v>
      </c>
      <c r="CW9" s="1859"/>
    </row>
    <row r="10" spans="1:104" ht="21" customHeight="1" thickBot="1" x14ac:dyDescent="0.3">
      <c r="A10" s="1871"/>
      <c r="B10" s="94" t="s">
        <v>156</v>
      </c>
      <c r="C10" s="94" t="s">
        <v>157</v>
      </c>
      <c r="D10" s="1871"/>
      <c r="E10" s="1873"/>
      <c r="F10" s="91" t="s">
        <v>156</v>
      </c>
      <c r="G10" s="91" t="s">
        <v>157</v>
      </c>
      <c r="H10" s="93" t="s">
        <v>156</v>
      </c>
      <c r="I10" s="91" t="s">
        <v>157</v>
      </c>
      <c r="J10" s="93" t="s">
        <v>156</v>
      </c>
      <c r="K10" s="91" t="s">
        <v>157</v>
      </c>
      <c r="L10" s="93" t="s">
        <v>156</v>
      </c>
      <c r="M10" s="93" t="s">
        <v>157</v>
      </c>
      <c r="N10" s="91" t="s">
        <v>156</v>
      </c>
      <c r="O10" s="93" t="s">
        <v>157</v>
      </c>
      <c r="P10" s="93" t="s">
        <v>156</v>
      </c>
      <c r="Q10" s="91" t="s">
        <v>157</v>
      </c>
      <c r="R10" s="95" t="s">
        <v>156</v>
      </c>
      <c r="S10" s="91" t="s">
        <v>157</v>
      </c>
      <c r="T10" s="95" t="s">
        <v>156</v>
      </c>
      <c r="U10" s="91" t="s">
        <v>157</v>
      </c>
      <c r="V10" s="93" t="s">
        <v>156</v>
      </c>
      <c r="W10" s="91" t="s">
        <v>157</v>
      </c>
      <c r="X10" s="93" t="s">
        <v>156</v>
      </c>
      <c r="Y10" s="91" t="s">
        <v>157</v>
      </c>
      <c r="Z10" s="93" t="s">
        <v>156</v>
      </c>
      <c r="AA10" s="91" t="s">
        <v>157</v>
      </c>
      <c r="AB10" s="93" t="s">
        <v>156</v>
      </c>
      <c r="AC10" s="91" t="s">
        <v>157</v>
      </c>
      <c r="AD10" s="93" t="s">
        <v>156</v>
      </c>
      <c r="AE10" s="91" t="s">
        <v>157</v>
      </c>
      <c r="AF10" s="93" t="s">
        <v>156</v>
      </c>
      <c r="AG10" s="91" t="s">
        <v>157</v>
      </c>
      <c r="AH10" s="93" t="s">
        <v>156</v>
      </c>
      <c r="AI10" s="93" t="s">
        <v>157</v>
      </c>
      <c r="AJ10" s="93" t="s">
        <v>156</v>
      </c>
      <c r="AK10" s="91" t="s">
        <v>157</v>
      </c>
      <c r="AL10" s="93" t="s">
        <v>156</v>
      </c>
      <c r="AM10" s="91" t="s">
        <v>157</v>
      </c>
      <c r="AN10" s="93" t="s">
        <v>156</v>
      </c>
      <c r="AO10" s="91" t="s">
        <v>157</v>
      </c>
      <c r="AP10" s="93" t="s">
        <v>156</v>
      </c>
      <c r="AQ10" s="91" t="s">
        <v>157</v>
      </c>
      <c r="AR10" s="93" t="s">
        <v>156</v>
      </c>
      <c r="AS10" s="91" t="s">
        <v>157</v>
      </c>
      <c r="AT10" s="93" t="s">
        <v>156</v>
      </c>
      <c r="AU10" s="91" t="s">
        <v>157</v>
      </c>
      <c r="AV10" s="93" t="s">
        <v>156</v>
      </c>
      <c r="AW10" s="93" t="s">
        <v>157</v>
      </c>
      <c r="AX10" s="93" t="s">
        <v>156</v>
      </c>
      <c r="AY10" s="91" t="s">
        <v>157</v>
      </c>
      <c r="AZ10" s="93" t="s">
        <v>156</v>
      </c>
      <c r="BA10" s="91" t="s">
        <v>157</v>
      </c>
      <c r="BB10" s="92" t="s">
        <v>156</v>
      </c>
      <c r="BC10" s="92" t="s">
        <v>157</v>
      </c>
      <c r="BD10" s="93" t="s">
        <v>156</v>
      </c>
      <c r="BE10" s="91" t="s">
        <v>157</v>
      </c>
      <c r="BF10" s="1430" t="s">
        <v>156</v>
      </c>
      <c r="BG10" s="92" t="s">
        <v>157</v>
      </c>
      <c r="BH10" s="93" t="s">
        <v>156</v>
      </c>
      <c r="BI10" s="91" t="s">
        <v>157</v>
      </c>
      <c r="BJ10" s="95" t="s">
        <v>156</v>
      </c>
      <c r="BK10" s="91" t="s">
        <v>157</v>
      </c>
      <c r="BL10" s="95" t="s">
        <v>156</v>
      </c>
      <c r="BM10" s="91" t="s">
        <v>157</v>
      </c>
      <c r="BN10" s="1872"/>
      <c r="BO10" s="1851"/>
      <c r="BP10" s="93" t="s">
        <v>156</v>
      </c>
      <c r="BQ10" s="91" t="s">
        <v>157</v>
      </c>
      <c r="BR10" s="92" t="s">
        <v>156</v>
      </c>
      <c r="BS10" s="92" t="s">
        <v>157</v>
      </c>
      <c r="BT10" s="93" t="s">
        <v>156</v>
      </c>
      <c r="BU10" s="91" t="s">
        <v>157</v>
      </c>
      <c r="BV10" s="95" t="s">
        <v>156</v>
      </c>
      <c r="BW10" s="91" t="s">
        <v>157</v>
      </c>
      <c r="BX10" s="95" t="s">
        <v>156</v>
      </c>
      <c r="BY10" s="91" t="s">
        <v>157</v>
      </c>
      <c r="BZ10" s="93" t="s">
        <v>156</v>
      </c>
      <c r="CA10" s="91" t="s">
        <v>157</v>
      </c>
      <c r="CB10" s="93" t="s">
        <v>156</v>
      </c>
      <c r="CC10" s="91" t="s">
        <v>157</v>
      </c>
      <c r="CD10" s="93" t="s">
        <v>156</v>
      </c>
      <c r="CE10" s="91" t="s">
        <v>157</v>
      </c>
      <c r="CF10" s="1849"/>
      <c r="CG10" s="1851"/>
      <c r="CH10" s="93" t="s">
        <v>156</v>
      </c>
      <c r="CI10" s="91" t="s">
        <v>157</v>
      </c>
      <c r="CJ10" s="93" t="s">
        <v>156</v>
      </c>
      <c r="CK10" s="91" t="s">
        <v>157</v>
      </c>
      <c r="CL10" s="93" t="s">
        <v>156</v>
      </c>
      <c r="CM10" s="91" t="s">
        <v>157</v>
      </c>
      <c r="CN10" s="93" t="s">
        <v>156</v>
      </c>
      <c r="CO10" s="91" t="s">
        <v>157</v>
      </c>
      <c r="CP10" s="93" t="s">
        <v>156</v>
      </c>
      <c r="CQ10" s="91" t="s">
        <v>157</v>
      </c>
      <c r="CR10" s="93" t="s">
        <v>156</v>
      </c>
      <c r="CS10" s="91" t="s">
        <v>157</v>
      </c>
      <c r="CT10" s="93" t="s">
        <v>156</v>
      </c>
      <c r="CU10" s="91" t="s">
        <v>157</v>
      </c>
      <c r="CV10" s="93" t="s">
        <v>156</v>
      </c>
      <c r="CW10" s="91" t="s">
        <v>157</v>
      </c>
      <c r="CY10" s="1845" t="s">
        <v>306</v>
      </c>
      <c r="CZ10" s="1846"/>
    </row>
    <row r="11" spans="1:104" ht="25.5" customHeight="1" x14ac:dyDescent="0.25">
      <c r="A11" s="96" t="s">
        <v>79</v>
      </c>
      <c r="B11" s="98">
        <f t="shared" ref="B11:B28" si="0">D11+BN11+CF11</f>
        <v>38224797.420000002</v>
      </c>
      <c r="C11" s="98">
        <f t="shared" ref="C11:C28" si="1">E11+BO11+CG11</f>
        <v>10255363.039999999</v>
      </c>
      <c r="D11" s="278">
        <f t="shared" ref="D11:D28" si="2">L11+N11+AL11+AX11+F11+AV11+BF11+AJ11+P11+AN11+J11+R11+Z11+BB11+V11+X11+AB11+AH11+H11+AZ11+BD11+BJ11+AD11+AR11+AP11+BH11+T11+BL11+AF11+AT11</f>
        <v>23801147.960000001</v>
      </c>
      <c r="E11" s="278">
        <f t="shared" ref="E11:E28" si="3">M11+O11+AM11+AY11+G11+AW11+BG11+AK11+Q11+AO11+K11+S11+AA11+BC11+W11+Y11+AC11+AI11+I11+BA11+BE11+BK11+AE11+AS11+AQ11+BI11+U11+BM11+AG11+AU11</f>
        <v>750767.86</v>
      </c>
      <c r="F11" s="97">
        <f>'Проверочная  таблица'!CS12+'Проверочная  таблица'!CU12</f>
        <v>0</v>
      </c>
      <c r="G11" s="97">
        <f>'Проверочная  таблица'!CT12+'Проверочная  таблица'!CV12</f>
        <v>0</v>
      </c>
      <c r="H11" s="98">
        <f>'Проверочная  таблица'!DL12</f>
        <v>0</v>
      </c>
      <c r="I11" s="97">
        <f>'Проверочная  таблица'!DP12</f>
        <v>0</v>
      </c>
      <c r="J11" s="99">
        <f>'Проверочная  таблица'!DT12</f>
        <v>0</v>
      </c>
      <c r="K11" s="97">
        <f>'Проверочная  таблица'!EA12</f>
        <v>0</v>
      </c>
      <c r="L11" s="99">
        <f>'Проверочная  таблица'!DV12</f>
        <v>0</v>
      </c>
      <c r="M11" s="98">
        <f>'Проверочная  таблица'!EC12</f>
        <v>0</v>
      </c>
      <c r="N11" s="97">
        <f>'Проверочная  таблица'!EG12</f>
        <v>0</v>
      </c>
      <c r="O11" s="98">
        <f>'Проверочная  таблица'!EJ12</f>
        <v>0</v>
      </c>
      <c r="P11" s="98">
        <f>'Проверочная  таблица'!EM12</f>
        <v>2305650</v>
      </c>
      <c r="Q11" s="98">
        <f>'Проверочная  таблица'!ET12</f>
        <v>0</v>
      </c>
      <c r="R11" s="98">
        <f>'Проверочная  таблица'!EO12</f>
        <v>0</v>
      </c>
      <c r="S11" s="98">
        <f>'Проверочная  таблица'!EV12</f>
        <v>0</v>
      </c>
      <c r="T11" s="98">
        <f>'Проверочная  таблица'!EQ12</f>
        <v>20000000</v>
      </c>
      <c r="U11" s="97">
        <f>'Проверочная  таблица'!EX12</f>
        <v>0</v>
      </c>
      <c r="V11" s="99">
        <f>'Проверочная  таблица'!FA12</f>
        <v>0</v>
      </c>
      <c r="W11" s="97">
        <f>'Проверочная  таблица'!FD12</f>
        <v>0</v>
      </c>
      <c r="X11" s="99">
        <f>'Проверочная  таблица'!FG12</f>
        <v>0</v>
      </c>
      <c r="Y11" s="97">
        <f>'Проверочная  таблица'!FJ12</f>
        <v>0</v>
      </c>
      <c r="Z11" s="99">
        <f>'Проверочная  таблица'!FM12</f>
        <v>0</v>
      </c>
      <c r="AA11" s="98">
        <f>'Проверочная  таблица'!FP12</f>
        <v>0</v>
      </c>
      <c r="AB11" s="98">
        <f>'Проверочная  таблица'!FS12+'Проверочная  таблица'!FY12</f>
        <v>0</v>
      </c>
      <c r="AC11" s="98">
        <f>'Проверочная  таблица'!FV12+'Проверочная  таблица'!GB12</f>
        <v>0</v>
      </c>
      <c r="AD11" s="98">
        <f>'Проверочная  таблица'!GI12</f>
        <v>0</v>
      </c>
      <c r="AE11" s="98">
        <f>'Проверочная  таблица'!GL12</f>
        <v>0</v>
      </c>
      <c r="AF11" s="98">
        <f>'Проверочная  таблица'!MK12</f>
        <v>0</v>
      </c>
      <c r="AG11" s="97">
        <f>'Проверочная  таблица'!MP12</f>
        <v>0</v>
      </c>
      <c r="AH11" s="99">
        <f>'Проверочная  таблица'!GO12+'Проверочная  таблица'!GU12</f>
        <v>812516.94</v>
      </c>
      <c r="AI11" s="98">
        <f>'Проверочная  таблица'!GR12+'Проверочная  таблица'!GX12</f>
        <v>67894.23</v>
      </c>
      <c r="AJ11" s="98">
        <f>'Проверочная  таблица'!HM12</f>
        <v>0</v>
      </c>
      <c r="AK11" s="97">
        <f>'Проверочная  таблица'!HP12</f>
        <v>0</v>
      </c>
      <c r="AL11" s="99">
        <f>'Проверочная  таблица'!HS12+'Проверочная  таблица'!HY12</f>
        <v>0</v>
      </c>
      <c r="AM11" s="98">
        <f>'Проверочная  таблица'!HV12+'Проверочная  таблица'!IB12</f>
        <v>0</v>
      </c>
      <c r="AN11" s="98">
        <f>'Проверочная  таблица'!IU12+'Проверочная  таблица'!JO12</f>
        <v>0</v>
      </c>
      <c r="AO11" s="98">
        <f>'Проверочная  таблица'!JT12+'Проверочная  таблица'!JE12</f>
        <v>0</v>
      </c>
      <c r="AP11" s="98">
        <f>'Проверочная  таблица'!IY12</f>
        <v>0</v>
      </c>
      <c r="AQ11" s="98">
        <f>'Проверочная  таблица'!JI12</f>
        <v>0</v>
      </c>
      <c r="AR11" s="98">
        <f>'Проверочная  таблица'!IW12</f>
        <v>0</v>
      </c>
      <c r="AS11" s="97">
        <f>'Проверочная  таблица'!JG12</f>
        <v>0</v>
      </c>
      <c r="AT11" s="98">
        <f>'Проверочная  таблица'!IS12+'Проверочная  таблица'!JM12</f>
        <v>0</v>
      </c>
      <c r="AU11" s="97">
        <f>'Проверочная  таблица'!JC12+'Проверочная  таблица'!JR12</f>
        <v>0</v>
      </c>
      <c r="AV11" s="99">
        <f>'Проверочная  таблица'!KQ12</f>
        <v>0</v>
      </c>
      <c r="AW11" s="98">
        <f>'Проверочная  таблица'!KU12</f>
        <v>0</v>
      </c>
      <c r="AX11" s="98">
        <f>'Проверочная  таблица'!LC12+'Проверочная  таблица'!LK12</f>
        <v>0</v>
      </c>
      <c r="AY11" s="97">
        <f>'Проверочная  таблица'!LG12+'Проверочная  таблица'!LO12</f>
        <v>0</v>
      </c>
      <c r="AZ11" s="98">
        <f>'Проверочная  таблица'!MI12</f>
        <v>682981.02</v>
      </c>
      <c r="BA11" s="97">
        <f>'Проверочная  таблица'!MN12</f>
        <v>682873.63</v>
      </c>
      <c r="BB11" s="1096">
        <f>'Проверочная  таблица'!NM12</f>
        <v>0</v>
      </c>
      <c r="BC11" s="278">
        <f>'Проверочная  таблица'!NP12</f>
        <v>0</v>
      </c>
      <c r="BD11" s="98">
        <f>'Проверочная  таблица'!OG12</f>
        <v>0</v>
      </c>
      <c r="BE11" s="97">
        <f>'Проверочная  таблица'!ON12</f>
        <v>0</v>
      </c>
      <c r="BF11" s="98">
        <f>'Проверочная  таблица'!NS12+'Проверочная  таблица'!OI12</f>
        <v>0</v>
      </c>
      <c r="BG11" s="98">
        <f>'Проверочная  таблица'!NZ12+'Проверочная  таблица'!OP12</f>
        <v>0</v>
      </c>
      <c r="BH11" s="98">
        <f>'Проверочная  таблица'!NU12</f>
        <v>0</v>
      </c>
      <c r="BI11" s="97">
        <f>'Проверочная  таблица'!OB12</f>
        <v>0</v>
      </c>
      <c r="BJ11" s="99">
        <f>'Проверочная  таблица'!OK12+'Проверочная  таблица'!NW12</f>
        <v>0</v>
      </c>
      <c r="BK11" s="98">
        <f>'Проверочная  таблица'!OR12+'Проверочная  таблица'!OD12</f>
        <v>0</v>
      </c>
      <c r="BL11" s="98">
        <f>'Проверочная  таблица'!PW12+'Проверочная  таблица'!QC12</f>
        <v>0</v>
      </c>
      <c r="BM11" s="97">
        <f>'Проверочная  таблица'!PZ12+'Проверочная  таблица'!QF12</f>
        <v>0</v>
      </c>
      <c r="BN11" s="99">
        <f>CD11+BP11+BV11+BR11+BT11+BX11+BZ11+CB11</f>
        <v>5674209.46</v>
      </c>
      <c r="BO11" s="97">
        <f>CE11+BQ11+BW11+BS11+BU11+BY11+CA11+CC11</f>
        <v>3148115.1799999997</v>
      </c>
      <c r="BP11" s="99">
        <f>'Проверочная  таблица'!RM12</f>
        <v>1588700</v>
      </c>
      <c r="BQ11" s="97">
        <f>'Проверочная  таблица'!RN12</f>
        <v>988284.29</v>
      </c>
      <c r="BR11" s="100">
        <f>'Проверочная  таблица'!RO12</f>
        <v>3000</v>
      </c>
      <c r="BS11" s="100">
        <f>'Проверочная  таблица'!RP12</f>
        <v>0</v>
      </c>
      <c r="BT11" s="279">
        <f>'Проверочная  таблица'!RQ12</f>
        <v>0</v>
      </c>
      <c r="BU11" s="457">
        <f>'Проверочная  таблица'!RR12</f>
        <v>0</v>
      </c>
      <c r="BV11" s="171">
        <f>'Проверочная  таблица'!RS12</f>
        <v>0</v>
      </c>
      <c r="BW11" s="457">
        <f>'Проверочная  таблица'!RT12</f>
        <v>0</v>
      </c>
      <c r="BX11" s="171">
        <f>'Проверочная  таблица'!RU12</f>
        <v>0</v>
      </c>
      <c r="BY11" s="279">
        <f>'Проверочная  таблица'!RV12</f>
        <v>0</v>
      </c>
      <c r="BZ11" s="98">
        <f>'Проверочная  таблица'!RY12</f>
        <v>2869239.92</v>
      </c>
      <c r="CA11" s="98">
        <f>'Проверочная  таблица'!SB12</f>
        <v>1417459.32</v>
      </c>
      <c r="CB11" s="98">
        <f>'Проверочная  таблица'!SC12</f>
        <v>213269.54</v>
      </c>
      <c r="CC11" s="97">
        <f>'Проверочная  таблица'!SD12</f>
        <v>0</v>
      </c>
      <c r="CD11" s="99">
        <f>'Проверочная  таблица'!SG12</f>
        <v>1000000</v>
      </c>
      <c r="CE11" s="98">
        <f>'Проверочная  таблица'!SJ12</f>
        <v>742371.57</v>
      </c>
      <c r="CF11" s="98">
        <f>CN11+CR11+CV11+CP11+CH11+CJ11+CT11+CL11</f>
        <v>8749440</v>
      </c>
      <c r="CG11" s="97">
        <f>CO11+CS11+CW11+CQ11+CI11+CK11+CU11+CM11</f>
        <v>6356480</v>
      </c>
      <c r="CH11" s="99">
        <f>'Проверочная  таблица'!SO12</f>
        <v>8749440</v>
      </c>
      <c r="CI11" s="98">
        <f>'Проверочная  таблица'!SR12</f>
        <v>6356480</v>
      </c>
      <c r="CJ11" s="98">
        <f>'Проверочная  таблица'!ST12</f>
        <v>0</v>
      </c>
      <c r="CK11" s="98">
        <f>'Проверочная  таблица'!SW12</f>
        <v>0</v>
      </c>
      <c r="CL11" s="98">
        <f>'Проверочная  таблица'!SU12</f>
        <v>0</v>
      </c>
      <c r="CM11" s="97">
        <f>'Проверочная  таблица'!SX12</f>
        <v>0</v>
      </c>
      <c r="CN11" s="99">
        <f>'Проверочная  таблица'!SZ12+'Проверочная  таблица'!TD12</f>
        <v>0</v>
      </c>
      <c r="CO11" s="98">
        <f>'Проверочная  таблица'!TB12+'Проверочная  таблица'!TF12</f>
        <v>0</v>
      </c>
      <c r="CP11" s="98">
        <f>'Проверочная  таблица'!TM12+'Проверочная  таблица'!TS12</f>
        <v>0</v>
      </c>
      <c r="CQ11" s="97">
        <f>'Проверочная  таблица'!TP12+'Проверочная  таблица'!TV12</f>
        <v>0</v>
      </c>
      <c r="CR11" s="98">
        <f>'Проверочная  таблица'!UC12</f>
        <v>0</v>
      </c>
      <c r="CS11" s="98">
        <f>'Проверочная  таблица'!UF12</f>
        <v>0</v>
      </c>
      <c r="CT11" s="98">
        <f>'Проверочная  таблица'!UJ12</f>
        <v>0</v>
      </c>
      <c r="CU11" s="97">
        <f>'Проверочная  таблица'!UN12</f>
        <v>0</v>
      </c>
      <c r="CV11" s="99">
        <f>'Проверочная  таблица'!UI12</f>
        <v>0</v>
      </c>
      <c r="CW11" s="97">
        <f>'Проверочная  таблица'!UM12</f>
        <v>0</v>
      </c>
      <c r="CY11" s="937">
        <f>(BN11-BP11)/1000</f>
        <v>4085.5094599999998</v>
      </c>
      <c r="CZ11" s="937">
        <f>(BO11-BQ11)/1000</f>
        <v>2159.8308899999997</v>
      </c>
    </row>
    <row r="12" spans="1:104" ht="25.5" customHeight="1" x14ac:dyDescent="0.25">
      <c r="A12" s="102" t="s">
        <v>80</v>
      </c>
      <c r="B12" s="103">
        <f t="shared" si="0"/>
        <v>410330701.32999998</v>
      </c>
      <c r="C12" s="103">
        <f t="shared" si="1"/>
        <v>342234029.94</v>
      </c>
      <c r="D12" s="278">
        <f t="shared" si="2"/>
        <v>280201547.51999998</v>
      </c>
      <c r="E12" s="278">
        <f t="shared" si="3"/>
        <v>235361065.85999998</v>
      </c>
      <c r="F12" s="101">
        <f>'Проверочная  таблица'!CS13+'Проверочная  таблица'!CU13</f>
        <v>70930611.540000007</v>
      </c>
      <c r="G12" s="101">
        <f>'Проверочная  таблица'!CT13+'Проверочная  таблица'!CV13</f>
        <v>65826022.07</v>
      </c>
      <c r="H12" s="103">
        <f>'Проверочная  таблица'!DL13</f>
        <v>0</v>
      </c>
      <c r="I12" s="101">
        <f>'Проверочная  таблица'!DP13</f>
        <v>0</v>
      </c>
      <c r="J12" s="104">
        <f>'Проверочная  таблица'!DT13</f>
        <v>0</v>
      </c>
      <c r="K12" s="101">
        <f>'Проверочная  таблица'!EA13</f>
        <v>0</v>
      </c>
      <c r="L12" s="104">
        <f>'Проверочная  таблица'!DV13</f>
        <v>0</v>
      </c>
      <c r="M12" s="103">
        <f>'Проверочная  таблица'!EC13</f>
        <v>0</v>
      </c>
      <c r="N12" s="101">
        <f>'Проверочная  таблица'!EG13</f>
        <v>0</v>
      </c>
      <c r="O12" s="103">
        <f>'Проверочная  таблица'!EJ13</f>
        <v>0</v>
      </c>
      <c r="P12" s="103">
        <f>'Проверочная  таблица'!EM13</f>
        <v>0</v>
      </c>
      <c r="Q12" s="103">
        <f>'Проверочная  таблица'!ET13</f>
        <v>0</v>
      </c>
      <c r="R12" s="103">
        <f>'Проверочная  таблица'!EO13</f>
        <v>0</v>
      </c>
      <c r="S12" s="103">
        <f>'Проверочная  таблица'!EV13</f>
        <v>0</v>
      </c>
      <c r="T12" s="103">
        <f>'Проверочная  таблица'!EQ13</f>
        <v>0</v>
      </c>
      <c r="U12" s="101">
        <f>'Проверочная  таблица'!EX13</f>
        <v>0</v>
      </c>
      <c r="V12" s="104">
        <f>'Проверочная  таблица'!FA13</f>
        <v>0</v>
      </c>
      <c r="W12" s="101">
        <f>'Проверочная  таблица'!FD13</f>
        <v>0</v>
      </c>
      <c r="X12" s="104">
        <f>'Проверочная  таблица'!FG13</f>
        <v>0</v>
      </c>
      <c r="Y12" s="101">
        <f>'Проверочная  таблица'!FJ13</f>
        <v>0</v>
      </c>
      <c r="Z12" s="104">
        <f>'Проверочная  таблица'!FM13</f>
        <v>0</v>
      </c>
      <c r="AA12" s="103">
        <f>'Проверочная  таблица'!FP13</f>
        <v>0</v>
      </c>
      <c r="AB12" s="103">
        <f>'Проверочная  таблица'!FS13+'Проверочная  таблица'!FY13</f>
        <v>0</v>
      </c>
      <c r="AC12" s="103">
        <f>'Проверочная  таблица'!FV13+'Проверочная  таблица'!GB13</f>
        <v>0</v>
      </c>
      <c r="AD12" s="103">
        <f>'Проверочная  таблица'!GI13</f>
        <v>0</v>
      </c>
      <c r="AE12" s="103">
        <f>'Проверочная  таблица'!GL13</f>
        <v>0</v>
      </c>
      <c r="AF12" s="103">
        <f>'Проверочная  таблица'!MK13</f>
        <v>0</v>
      </c>
      <c r="AG12" s="101">
        <f>'Проверочная  таблица'!MP13</f>
        <v>0</v>
      </c>
      <c r="AH12" s="104">
        <f>'Проверочная  таблица'!GO13+'Проверочная  таблица'!GU13</f>
        <v>0</v>
      </c>
      <c r="AI12" s="103">
        <f>'Проверочная  таблица'!GR13+'Проверочная  таблица'!GX13</f>
        <v>0</v>
      </c>
      <c r="AJ12" s="103">
        <f>'Проверочная  таблица'!HM13</f>
        <v>0</v>
      </c>
      <c r="AK12" s="101">
        <f>'Проверочная  таблица'!HP13</f>
        <v>0</v>
      </c>
      <c r="AL12" s="104">
        <f>'Проверочная  таблица'!HS13+'Проверочная  таблица'!HY13</f>
        <v>1395683.84</v>
      </c>
      <c r="AM12" s="103">
        <f>'Проверочная  таблица'!HV13+'Проверочная  таблица'!IB13</f>
        <v>1395683.84</v>
      </c>
      <c r="AN12" s="103">
        <f>'Проверочная  таблица'!IU13+'Проверочная  таблица'!JO13</f>
        <v>0</v>
      </c>
      <c r="AO12" s="103">
        <f>'Проверочная  таблица'!JT13+'Проверочная  таблица'!JE13</f>
        <v>0</v>
      </c>
      <c r="AP12" s="103">
        <f>'Проверочная  таблица'!IY13</f>
        <v>0</v>
      </c>
      <c r="AQ12" s="103">
        <f>'Проверочная  таблица'!JI13</f>
        <v>0</v>
      </c>
      <c r="AR12" s="103">
        <f>'Проверочная  таблица'!IW13</f>
        <v>0</v>
      </c>
      <c r="AS12" s="101">
        <f>'Проверочная  таблица'!JG13</f>
        <v>0</v>
      </c>
      <c r="AT12" s="103">
        <f>'Проверочная  таблица'!IS13+'Проверочная  таблица'!JM13</f>
        <v>0</v>
      </c>
      <c r="AU12" s="101">
        <f>'Проверочная  таблица'!JC13+'Проверочная  таблица'!JR13</f>
        <v>0</v>
      </c>
      <c r="AV12" s="104">
        <f>'Проверочная  таблица'!KQ13</f>
        <v>190567200</v>
      </c>
      <c r="AW12" s="103">
        <f>'Проверочная  таблица'!KU13</f>
        <v>150831310.75999999</v>
      </c>
      <c r="AX12" s="103">
        <f>'Проверочная  таблица'!LC13+'Проверочная  таблица'!LK13</f>
        <v>16530000</v>
      </c>
      <c r="AY12" s="101">
        <f>'Проверочная  таблица'!LG13+'Проверочная  таблица'!LO13</f>
        <v>16530000</v>
      </c>
      <c r="AZ12" s="103">
        <f>'Проверочная  таблица'!MI13</f>
        <v>778052.14</v>
      </c>
      <c r="BA12" s="101">
        <f>'Проверочная  таблица'!MN13</f>
        <v>778049.19</v>
      </c>
      <c r="BB12" s="100">
        <f>'Проверочная  таблица'!NM13</f>
        <v>0</v>
      </c>
      <c r="BC12" s="101">
        <f>'Проверочная  таблица'!NP13</f>
        <v>0</v>
      </c>
      <c r="BD12" s="103">
        <f>'Проверочная  таблица'!OG13</f>
        <v>0</v>
      </c>
      <c r="BE12" s="101">
        <f>'Проверочная  таблица'!ON13</f>
        <v>0</v>
      </c>
      <c r="BF12" s="103">
        <f>'Проверочная  таблица'!NS13+'Проверочная  таблица'!OI13</f>
        <v>0</v>
      </c>
      <c r="BG12" s="103">
        <f>'Проверочная  таблица'!NZ13+'Проверочная  таблица'!OP13</f>
        <v>0</v>
      </c>
      <c r="BH12" s="103">
        <f>'Проверочная  таблица'!NU13</f>
        <v>0</v>
      </c>
      <c r="BI12" s="101">
        <f>'Проверочная  таблица'!OB13</f>
        <v>0</v>
      </c>
      <c r="BJ12" s="104">
        <f>'Проверочная  таблица'!OK13+'Проверочная  таблица'!NW13</f>
        <v>0</v>
      </c>
      <c r="BK12" s="103">
        <f>'Проверочная  таблица'!OR13+'Проверочная  таблица'!OD13</f>
        <v>0</v>
      </c>
      <c r="BL12" s="103">
        <f>'Проверочная  таблица'!PW13+'Проверочная  таблица'!QC13</f>
        <v>0</v>
      </c>
      <c r="BM12" s="101">
        <f>'Проверочная  таблица'!PZ13+'Проверочная  таблица'!QF13</f>
        <v>0</v>
      </c>
      <c r="BN12" s="104">
        <f t="shared" ref="BN12:BN28" si="4">CD12+BP12+BV12+BR12+BT12+BX12+BZ12+CB12</f>
        <v>29427993.809999999</v>
      </c>
      <c r="BO12" s="101">
        <f t="shared" ref="BO12:BO28" si="5">CE12+BQ12+BW12+BS12+BU12+BY12+CA12+CC12</f>
        <v>13863564.08</v>
      </c>
      <c r="BP12" s="104">
        <f>'Проверочная  таблица'!RM13</f>
        <v>2268500</v>
      </c>
      <c r="BQ12" s="101">
        <f>'Проверочная  таблица'!RN13</f>
        <v>1401689.7100000002</v>
      </c>
      <c r="BR12" s="100">
        <f>'Проверочная  таблица'!RO13</f>
        <v>0</v>
      </c>
      <c r="BS12" s="100">
        <f>'Проверочная  таблица'!RP13</f>
        <v>0</v>
      </c>
      <c r="BT12" s="280">
        <f>'Проверочная  таблица'!RQ13</f>
        <v>0</v>
      </c>
      <c r="BU12" s="170">
        <f>'Проверочная  таблица'!RR13</f>
        <v>0</v>
      </c>
      <c r="BV12" s="172">
        <f>'Проверочная  таблица'!RS13</f>
        <v>703925.99999999988</v>
      </c>
      <c r="BW12" s="170">
        <f>'Проверочная  таблица'!RT13</f>
        <v>703926</v>
      </c>
      <c r="BX12" s="172">
        <f>'Проверочная  таблица'!RU13</f>
        <v>0</v>
      </c>
      <c r="BY12" s="280">
        <f>'Проверочная  таблица'!RV13</f>
        <v>0</v>
      </c>
      <c r="BZ12" s="103">
        <f>'Проверочная  таблица'!RY13</f>
        <v>23224116.859999999</v>
      </c>
      <c r="CA12" s="103">
        <f>'Проверочная  таблица'!SB13</f>
        <v>10085027.76</v>
      </c>
      <c r="CB12" s="103">
        <f>'Проверочная  таблица'!SC13</f>
        <v>1231450.95</v>
      </c>
      <c r="CC12" s="101">
        <f>'Проверочная  таблица'!SD13</f>
        <v>0</v>
      </c>
      <c r="CD12" s="104">
        <f>'Проверочная  таблица'!SG13</f>
        <v>2000000</v>
      </c>
      <c r="CE12" s="103">
        <f>'Проверочная  таблица'!SJ13</f>
        <v>1672920.61</v>
      </c>
      <c r="CF12" s="103">
        <f t="shared" ref="CF12:CF28" si="6">CN12+CR12+CV12+CP12+CH12+CJ12+CT12+CL12</f>
        <v>100701160</v>
      </c>
      <c r="CG12" s="101">
        <f t="shared" ref="CG12:CG28" si="7">CO12+CS12+CW12+CQ12+CI12+CK12+CU12+CM12</f>
        <v>93009400</v>
      </c>
      <c r="CH12" s="104">
        <f>'Проверочная  таблица'!SO13</f>
        <v>30701160</v>
      </c>
      <c r="CI12" s="103">
        <f>'Проверочная  таблица'!SR13</f>
        <v>23009400</v>
      </c>
      <c r="CJ12" s="103">
        <f>'Проверочная  таблица'!ST13</f>
        <v>0</v>
      </c>
      <c r="CK12" s="103">
        <f>'Проверочная  таблица'!SW13</f>
        <v>0</v>
      </c>
      <c r="CL12" s="103">
        <f>'Проверочная  таблица'!SU13</f>
        <v>0</v>
      </c>
      <c r="CM12" s="101">
        <f>'Проверочная  таблица'!SX13</f>
        <v>0</v>
      </c>
      <c r="CN12" s="104">
        <f>'Проверочная  таблица'!SZ13+'Проверочная  таблица'!TD13</f>
        <v>0</v>
      </c>
      <c r="CO12" s="103">
        <f>'Проверочная  таблица'!TB13+'Проверочная  таблица'!TF13</f>
        <v>0</v>
      </c>
      <c r="CP12" s="103">
        <f>'Проверочная  таблица'!TM13+'Проверочная  таблица'!TS13</f>
        <v>70000000</v>
      </c>
      <c r="CQ12" s="101">
        <f>'Проверочная  таблица'!TP13+'Проверочная  таблица'!TV13</f>
        <v>70000000</v>
      </c>
      <c r="CR12" s="103">
        <f>'Проверочная  таблица'!UC13</f>
        <v>0</v>
      </c>
      <c r="CS12" s="103">
        <f>'Проверочная  таблица'!UF13</f>
        <v>0</v>
      </c>
      <c r="CT12" s="103">
        <f>'Проверочная  таблица'!UJ13</f>
        <v>0</v>
      </c>
      <c r="CU12" s="101">
        <f>'Проверочная  таблица'!UN13</f>
        <v>0</v>
      </c>
      <c r="CV12" s="104">
        <f>'Проверочная  таблица'!UI13</f>
        <v>0</v>
      </c>
      <c r="CW12" s="101">
        <f>'Проверочная  таблица'!UM13</f>
        <v>0</v>
      </c>
      <c r="CY12" s="937">
        <f t="shared" ref="CY12:CY36" si="8">(BN12-BP12)/1000</f>
        <v>27159.49381</v>
      </c>
      <c r="CZ12" s="937">
        <f t="shared" ref="CZ12:CZ36" si="9">(BO12-BQ12)/1000</f>
        <v>12461.87437</v>
      </c>
    </row>
    <row r="13" spans="1:104" ht="25.5" customHeight="1" x14ac:dyDescent="0.25">
      <c r="A13" s="105" t="s">
        <v>81</v>
      </c>
      <c r="B13" s="103">
        <f t="shared" si="0"/>
        <v>121574836.62</v>
      </c>
      <c r="C13" s="103">
        <f t="shared" si="1"/>
        <v>86251941.480000004</v>
      </c>
      <c r="D13" s="278">
        <f t="shared" si="2"/>
        <v>92422774.439999998</v>
      </c>
      <c r="E13" s="278">
        <f t="shared" si="3"/>
        <v>70297785</v>
      </c>
      <c r="F13" s="101">
        <f>'Проверочная  таблица'!CS14+'Проверочная  таблица'!CU14</f>
        <v>26967418.18</v>
      </c>
      <c r="G13" s="101">
        <f>'Проверочная  таблица'!CT14+'Проверочная  таблица'!CV14</f>
        <v>20096208.039999999</v>
      </c>
      <c r="H13" s="103">
        <f>'Проверочная  таблица'!DL14</f>
        <v>32137300</v>
      </c>
      <c r="I13" s="101">
        <f>'Проверочная  таблица'!DP14</f>
        <v>32137300</v>
      </c>
      <c r="J13" s="104">
        <f>'Проверочная  таблица'!DT14</f>
        <v>0</v>
      </c>
      <c r="K13" s="101">
        <f>'Проверочная  таблица'!EA14</f>
        <v>0</v>
      </c>
      <c r="L13" s="104">
        <f>'Проверочная  таблица'!DV14</f>
        <v>0</v>
      </c>
      <c r="M13" s="103">
        <f>'Проверочная  таблица'!EC14</f>
        <v>0</v>
      </c>
      <c r="N13" s="101">
        <f>'Проверочная  таблица'!EG14</f>
        <v>0</v>
      </c>
      <c r="O13" s="103">
        <f>'Проверочная  таблица'!EJ14</f>
        <v>0</v>
      </c>
      <c r="P13" s="103">
        <f>'Проверочная  таблица'!EM14</f>
        <v>0</v>
      </c>
      <c r="Q13" s="103">
        <f>'Проверочная  таблица'!ET14</f>
        <v>0</v>
      </c>
      <c r="R13" s="103">
        <f>'Проверочная  таблица'!EO14</f>
        <v>0</v>
      </c>
      <c r="S13" s="103">
        <f>'Проверочная  таблица'!EV14</f>
        <v>0</v>
      </c>
      <c r="T13" s="103">
        <f>'Проверочная  таблица'!EQ14</f>
        <v>0</v>
      </c>
      <c r="U13" s="101">
        <f>'Проверочная  таблица'!EX14</f>
        <v>0</v>
      </c>
      <c r="V13" s="104">
        <f>'Проверочная  таблица'!FA14</f>
        <v>0</v>
      </c>
      <c r="W13" s="101">
        <f>'Проверочная  таблица'!FD14</f>
        <v>0</v>
      </c>
      <c r="X13" s="104">
        <f>'Проверочная  таблица'!FG14</f>
        <v>0</v>
      </c>
      <c r="Y13" s="101">
        <f>'Проверочная  таблица'!FJ14</f>
        <v>0</v>
      </c>
      <c r="Z13" s="104">
        <f>'Проверочная  таблица'!FM14</f>
        <v>0</v>
      </c>
      <c r="AA13" s="103">
        <f>'Проверочная  таблица'!FP14</f>
        <v>0</v>
      </c>
      <c r="AB13" s="103">
        <f>'Проверочная  таблица'!FS14+'Проверочная  таблица'!FY14</f>
        <v>7879700</v>
      </c>
      <c r="AC13" s="103">
        <f>'Проверочная  таблица'!FV14+'Проверочная  таблица'!GB14</f>
        <v>0</v>
      </c>
      <c r="AD13" s="103">
        <f>'Проверочная  таблица'!GI14</f>
        <v>0</v>
      </c>
      <c r="AE13" s="103">
        <f>'Проверочная  таблица'!GL14</f>
        <v>0</v>
      </c>
      <c r="AF13" s="103">
        <f>'Проверочная  таблица'!MK14</f>
        <v>0</v>
      </c>
      <c r="AG13" s="101">
        <f>'Проверочная  таблица'!MP14</f>
        <v>0</v>
      </c>
      <c r="AH13" s="104">
        <f>'Проверочная  таблица'!GO14+'Проверочная  таблица'!GU14</f>
        <v>0</v>
      </c>
      <c r="AI13" s="103">
        <f>'Проверочная  таблица'!GR14+'Проверочная  таблица'!GX14</f>
        <v>0</v>
      </c>
      <c r="AJ13" s="103">
        <f>'Проверочная  таблица'!HM14</f>
        <v>0</v>
      </c>
      <c r="AK13" s="101">
        <f>'Проверочная  таблица'!HP14</f>
        <v>0</v>
      </c>
      <c r="AL13" s="104">
        <f>'Проверочная  таблица'!HS14+'Проверочная  таблица'!HY14</f>
        <v>331088.34000000003</v>
      </c>
      <c r="AM13" s="103">
        <f>'Проверочная  таблица'!HV14+'Проверочная  таблица'!IB14</f>
        <v>320249.03999999998</v>
      </c>
      <c r="AN13" s="103">
        <f>'Проверочная  таблица'!IU14+'Проверочная  таблица'!JO14</f>
        <v>0</v>
      </c>
      <c r="AO13" s="103">
        <f>'Проверочная  таблица'!JT14+'Проверочная  таблица'!JE14</f>
        <v>0</v>
      </c>
      <c r="AP13" s="103">
        <f>'Проверочная  таблица'!IY14</f>
        <v>0</v>
      </c>
      <c r="AQ13" s="103">
        <f>'Проверочная  таблица'!JI14</f>
        <v>0</v>
      </c>
      <c r="AR13" s="103">
        <f>'Проверочная  таблица'!IW14</f>
        <v>0</v>
      </c>
      <c r="AS13" s="101">
        <f>'Проверочная  таблица'!JG14</f>
        <v>0</v>
      </c>
      <c r="AT13" s="103">
        <f>'Проверочная  таблица'!IS14+'Проверочная  таблица'!JM14</f>
        <v>0</v>
      </c>
      <c r="AU13" s="101">
        <f>'Проверочная  таблица'!JC14+'Проверочная  таблица'!JR14</f>
        <v>0</v>
      </c>
      <c r="AV13" s="104">
        <f>'Проверочная  таблица'!KQ14</f>
        <v>0</v>
      </c>
      <c r="AW13" s="103">
        <f>'Проверочная  таблица'!KU14</f>
        <v>0</v>
      </c>
      <c r="AX13" s="103">
        <f>'Проверочная  таблица'!LC14+'Проверочная  таблица'!LK14</f>
        <v>16530000</v>
      </c>
      <c r="AY13" s="101">
        <f>'Проверочная  таблица'!LG14+'Проверочная  таблица'!LO14</f>
        <v>16530000</v>
      </c>
      <c r="AZ13" s="103">
        <f>'Проверочная  таблица'!MI14</f>
        <v>1214027.92</v>
      </c>
      <c r="BA13" s="101">
        <f>'Проверочная  таблица'!MN14</f>
        <v>1214027.92</v>
      </c>
      <c r="BB13" s="100">
        <f>'Проверочная  таблица'!NM14</f>
        <v>0</v>
      </c>
      <c r="BC13" s="101">
        <f>'Проверочная  таблица'!NP14</f>
        <v>0</v>
      </c>
      <c r="BD13" s="103">
        <f>'Проверочная  таблица'!OG14</f>
        <v>0</v>
      </c>
      <c r="BE13" s="101">
        <f>'Проверочная  таблица'!ON14</f>
        <v>0</v>
      </c>
      <c r="BF13" s="103">
        <f>'Проверочная  таблица'!NS14+'Проверочная  таблица'!OI14</f>
        <v>0</v>
      </c>
      <c r="BG13" s="103">
        <f>'Проверочная  таблица'!NZ14+'Проверочная  таблица'!OP14</f>
        <v>0</v>
      </c>
      <c r="BH13" s="103">
        <f>'Проверочная  таблица'!NU14</f>
        <v>0</v>
      </c>
      <c r="BI13" s="101">
        <f>'Проверочная  таблица'!OB14</f>
        <v>0</v>
      </c>
      <c r="BJ13" s="104">
        <f>'Проверочная  таблица'!OK14+'Проверочная  таблица'!NW14</f>
        <v>0</v>
      </c>
      <c r="BK13" s="103">
        <f>'Проверочная  таблица'!OR14+'Проверочная  таблица'!OD14</f>
        <v>0</v>
      </c>
      <c r="BL13" s="103">
        <f>'Проверочная  таблица'!PW14+'Проверочная  таблица'!QC14</f>
        <v>7363240</v>
      </c>
      <c r="BM13" s="101">
        <f>'Проверочная  таблица'!PZ14+'Проверочная  таблица'!QF14</f>
        <v>0</v>
      </c>
      <c r="BN13" s="104">
        <f t="shared" si="4"/>
        <v>12996782.18</v>
      </c>
      <c r="BO13" s="101">
        <f t="shared" si="5"/>
        <v>4738875.95</v>
      </c>
      <c r="BP13" s="104">
        <f>'Проверочная  таблица'!RM14</f>
        <v>1382000</v>
      </c>
      <c r="BQ13" s="101">
        <f>'Проверочная  таблица'!RN14</f>
        <v>740800.6</v>
      </c>
      <c r="BR13" s="100">
        <f>'Проверочная  таблица'!RO14</f>
        <v>3000</v>
      </c>
      <c r="BS13" s="100">
        <f>'Проверочная  таблица'!RP14</f>
        <v>0</v>
      </c>
      <c r="BT13" s="280">
        <f>'Проверочная  таблица'!RQ14</f>
        <v>0</v>
      </c>
      <c r="BU13" s="170">
        <f>'Проверочная  таблица'!RR14</f>
        <v>0</v>
      </c>
      <c r="BV13" s="172">
        <f>'Проверочная  таблица'!RS14</f>
        <v>0</v>
      </c>
      <c r="BW13" s="170">
        <f>'Проверочная  таблица'!RT14</f>
        <v>0</v>
      </c>
      <c r="BX13" s="172">
        <f>'Проверочная  таблица'!RU14</f>
        <v>0</v>
      </c>
      <c r="BY13" s="280">
        <f>'Проверочная  таблица'!RV14</f>
        <v>0</v>
      </c>
      <c r="BZ13" s="103">
        <f>'Проверочная  таблица'!RY14</f>
        <v>9546977.6799999997</v>
      </c>
      <c r="CA13" s="103">
        <f>'Проверочная  таблица'!SB14</f>
        <v>2969133.79</v>
      </c>
      <c r="CB13" s="103">
        <f>'Проверочная  таблица'!SC14</f>
        <v>464804.5</v>
      </c>
      <c r="CC13" s="101">
        <f>'Проверочная  таблица'!SD14</f>
        <v>0</v>
      </c>
      <c r="CD13" s="104">
        <f>'Проверочная  таблица'!SG14</f>
        <v>1600000</v>
      </c>
      <c r="CE13" s="103">
        <f>'Проверочная  таблица'!SJ14</f>
        <v>1028941.56</v>
      </c>
      <c r="CF13" s="103">
        <f t="shared" si="6"/>
        <v>16155280</v>
      </c>
      <c r="CG13" s="101">
        <f t="shared" si="7"/>
        <v>11215280.529999999</v>
      </c>
      <c r="CH13" s="104">
        <f>'Проверочная  таблица'!SO14</f>
        <v>15155280</v>
      </c>
      <c r="CI13" s="103">
        <f>'Проверочная  таблица'!SR14</f>
        <v>10215280.529999999</v>
      </c>
      <c r="CJ13" s="103">
        <f>'Проверочная  таблица'!ST14</f>
        <v>0</v>
      </c>
      <c r="CK13" s="103">
        <f>'Проверочная  таблица'!SW14</f>
        <v>0</v>
      </c>
      <c r="CL13" s="103">
        <f>'Проверочная  таблица'!SU14</f>
        <v>0</v>
      </c>
      <c r="CM13" s="101">
        <f>'Проверочная  таблица'!SX14</f>
        <v>0</v>
      </c>
      <c r="CN13" s="104">
        <f>'Проверочная  таблица'!SZ14+'Проверочная  таблица'!TD14</f>
        <v>0</v>
      </c>
      <c r="CO13" s="103">
        <f>'Проверочная  таблица'!TB14+'Проверочная  таблица'!TF14</f>
        <v>0</v>
      </c>
      <c r="CP13" s="103">
        <f>'Проверочная  таблица'!TM14+'Проверочная  таблица'!TS14</f>
        <v>0</v>
      </c>
      <c r="CQ13" s="101">
        <f>'Проверочная  таблица'!TP14+'Проверочная  таблица'!TV14</f>
        <v>0</v>
      </c>
      <c r="CR13" s="103">
        <f>'Проверочная  таблица'!UC14</f>
        <v>1000000</v>
      </c>
      <c r="CS13" s="103">
        <f>'Проверочная  таблица'!UF14</f>
        <v>1000000</v>
      </c>
      <c r="CT13" s="103">
        <f>'Проверочная  таблица'!UJ14</f>
        <v>0</v>
      </c>
      <c r="CU13" s="101">
        <f>'Проверочная  таблица'!UN14</f>
        <v>0</v>
      </c>
      <c r="CV13" s="104">
        <f>'Проверочная  таблица'!UI14</f>
        <v>0</v>
      </c>
      <c r="CW13" s="101">
        <f>'Проверочная  таблица'!UM14</f>
        <v>0</v>
      </c>
      <c r="CY13" s="937">
        <f t="shared" si="8"/>
        <v>11614.78218</v>
      </c>
      <c r="CZ13" s="937">
        <f t="shared" si="9"/>
        <v>3998.0753500000001</v>
      </c>
    </row>
    <row r="14" spans="1:104" ht="25.5" customHeight="1" x14ac:dyDescent="0.25">
      <c r="A14" s="102" t="s">
        <v>82</v>
      </c>
      <c r="B14" s="103">
        <f t="shared" si="0"/>
        <v>39413578.890000001</v>
      </c>
      <c r="C14" s="103">
        <f t="shared" si="1"/>
        <v>27258776.549999997</v>
      </c>
      <c r="D14" s="278">
        <f t="shared" si="2"/>
        <v>8259052.4500000002</v>
      </c>
      <c r="E14" s="278">
        <f t="shared" si="3"/>
        <v>6747734.2799999993</v>
      </c>
      <c r="F14" s="101">
        <f>'Проверочная  таблица'!CS15+'Проверочная  таблица'!CU15</f>
        <v>0</v>
      </c>
      <c r="G14" s="101">
        <f>'Проверочная  таблица'!CT15+'Проверочная  таблица'!CV15</f>
        <v>0</v>
      </c>
      <c r="H14" s="103">
        <f>'Проверочная  таблица'!DL15</f>
        <v>0</v>
      </c>
      <c r="I14" s="101">
        <f>'Проверочная  таблица'!DP15</f>
        <v>0</v>
      </c>
      <c r="J14" s="104">
        <f>'Проверочная  таблица'!DT15</f>
        <v>0</v>
      </c>
      <c r="K14" s="101">
        <f>'Проверочная  таблица'!EA15</f>
        <v>0</v>
      </c>
      <c r="L14" s="104">
        <f>'Проверочная  таблица'!DV15</f>
        <v>0</v>
      </c>
      <c r="M14" s="103">
        <f>'Проверочная  таблица'!EC15</f>
        <v>0</v>
      </c>
      <c r="N14" s="101">
        <f>'Проверочная  таблица'!EG15</f>
        <v>0</v>
      </c>
      <c r="O14" s="103">
        <f>'Проверочная  таблица'!EJ15</f>
        <v>0</v>
      </c>
      <c r="P14" s="103">
        <f>'Проверочная  таблица'!EM15</f>
        <v>0</v>
      </c>
      <c r="Q14" s="103">
        <f>'Проверочная  таблица'!ET15</f>
        <v>0</v>
      </c>
      <c r="R14" s="103">
        <f>'Проверочная  таблица'!EO15</f>
        <v>0</v>
      </c>
      <c r="S14" s="103">
        <f>'Проверочная  таблица'!EV15</f>
        <v>0</v>
      </c>
      <c r="T14" s="103">
        <f>'Проверочная  таблица'!EQ15</f>
        <v>0</v>
      </c>
      <c r="U14" s="101">
        <f>'Проверочная  таблица'!EX15</f>
        <v>0</v>
      </c>
      <c r="V14" s="104">
        <f>'Проверочная  таблица'!FA15</f>
        <v>0</v>
      </c>
      <c r="W14" s="101">
        <f>'Проверочная  таблица'!FD15</f>
        <v>0</v>
      </c>
      <c r="X14" s="104">
        <f>'Проверочная  таблица'!FG15</f>
        <v>0</v>
      </c>
      <c r="Y14" s="101">
        <f>'Проверочная  таблица'!FJ15</f>
        <v>0</v>
      </c>
      <c r="Z14" s="104">
        <f>'Проверочная  таблица'!FM15</f>
        <v>0</v>
      </c>
      <c r="AA14" s="103">
        <f>'Проверочная  таблица'!FP15</f>
        <v>0</v>
      </c>
      <c r="AB14" s="103">
        <f>'Проверочная  таблица'!FS15+'Проверочная  таблица'!FY15</f>
        <v>0</v>
      </c>
      <c r="AC14" s="103">
        <f>'Проверочная  таблица'!FV15+'Проверочная  таблица'!GB15</f>
        <v>0</v>
      </c>
      <c r="AD14" s="103">
        <f>'Проверочная  таблица'!GI15</f>
        <v>0</v>
      </c>
      <c r="AE14" s="103">
        <f>'Проверочная  таблица'!GL15</f>
        <v>0</v>
      </c>
      <c r="AF14" s="103">
        <f>'Проверочная  таблица'!MK15</f>
        <v>1511279</v>
      </c>
      <c r="AG14" s="101">
        <f>'Проверочная  таблица'!MP15</f>
        <v>0</v>
      </c>
      <c r="AH14" s="104">
        <f>'Проверочная  таблица'!GO15+'Проверочная  таблица'!GU15</f>
        <v>134582.89000000001</v>
      </c>
      <c r="AI14" s="103">
        <f>'Проверочная  таблица'!GR15+'Проверочная  таблица'!GX15</f>
        <v>134543.74</v>
      </c>
      <c r="AJ14" s="103">
        <f>'Проверочная  таблица'!HM15</f>
        <v>0</v>
      </c>
      <c r="AK14" s="101">
        <f>'Проверочная  таблица'!HP15</f>
        <v>0</v>
      </c>
      <c r="AL14" s="104">
        <f>'Проверочная  таблица'!HS15+'Проверочная  таблица'!HY15</f>
        <v>302008.71000000002</v>
      </c>
      <c r="AM14" s="103">
        <f>'Проверочная  таблица'!HV15+'Проверочная  таблица'!IB15</f>
        <v>302008.71000000002</v>
      </c>
      <c r="AN14" s="103">
        <f>'Проверочная  таблица'!IU15+'Проверочная  таблица'!JO15</f>
        <v>0</v>
      </c>
      <c r="AO14" s="103">
        <f>'Проверочная  таблица'!JT15+'Проверочная  таблица'!JE15</f>
        <v>0</v>
      </c>
      <c r="AP14" s="103">
        <f>'Проверочная  таблица'!IY15</f>
        <v>5000387.37</v>
      </c>
      <c r="AQ14" s="103">
        <f>'Проверочная  таблица'!JI15</f>
        <v>5000387.3499999996</v>
      </c>
      <c r="AR14" s="103">
        <f>'Проверочная  таблица'!IW15</f>
        <v>0</v>
      </c>
      <c r="AS14" s="101">
        <f>'Проверочная  таблица'!JG15</f>
        <v>0</v>
      </c>
      <c r="AT14" s="103">
        <f>'Проверочная  таблица'!IS15+'Проверочная  таблица'!JM15</f>
        <v>0</v>
      </c>
      <c r="AU14" s="101">
        <f>'Проверочная  таблица'!JC15+'Проверочная  таблица'!JR15</f>
        <v>0</v>
      </c>
      <c r="AV14" s="104">
        <f>'Проверочная  таблица'!KQ15</f>
        <v>0</v>
      </c>
      <c r="AW14" s="103">
        <f>'Проверочная  таблица'!KU15</f>
        <v>0</v>
      </c>
      <c r="AX14" s="103">
        <f>'Проверочная  таблица'!LC15+'Проверочная  таблица'!LK15</f>
        <v>0</v>
      </c>
      <c r="AY14" s="101">
        <f>'Проверочная  таблица'!LG15+'Проверочная  таблица'!LO15</f>
        <v>0</v>
      </c>
      <c r="AZ14" s="103">
        <f>'Проверочная  таблица'!MI15</f>
        <v>1310794.48</v>
      </c>
      <c r="BA14" s="101">
        <f>'Проверочная  таблица'!MN15</f>
        <v>1310794.48</v>
      </c>
      <c r="BB14" s="100">
        <f>'Проверочная  таблица'!NM15</f>
        <v>0</v>
      </c>
      <c r="BC14" s="101">
        <f>'Проверочная  таблица'!NP15</f>
        <v>0</v>
      </c>
      <c r="BD14" s="103">
        <f>'Проверочная  таблица'!OG15</f>
        <v>0</v>
      </c>
      <c r="BE14" s="101">
        <f>'Проверочная  таблица'!ON15</f>
        <v>0</v>
      </c>
      <c r="BF14" s="103">
        <f>'Проверочная  таблица'!NS15+'Проверочная  таблица'!OI15</f>
        <v>0</v>
      </c>
      <c r="BG14" s="103">
        <f>'Проверочная  таблица'!NZ15+'Проверочная  таблица'!OP15</f>
        <v>0</v>
      </c>
      <c r="BH14" s="103">
        <f>'Проверочная  таблица'!NU15</f>
        <v>0</v>
      </c>
      <c r="BI14" s="101">
        <f>'Проверочная  таблица'!OB15</f>
        <v>0</v>
      </c>
      <c r="BJ14" s="104">
        <f>'Проверочная  таблица'!OK15+'Проверочная  таблица'!NW15</f>
        <v>0</v>
      </c>
      <c r="BK14" s="103">
        <f>'Проверочная  таблица'!OR15+'Проверочная  таблица'!OD15</f>
        <v>0</v>
      </c>
      <c r="BL14" s="103">
        <f>'Проверочная  таблица'!PW15+'Проверочная  таблица'!QC15</f>
        <v>0</v>
      </c>
      <c r="BM14" s="101">
        <f>'Проверочная  таблица'!PZ15+'Проверочная  таблица'!QF15</f>
        <v>0</v>
      </c>
      <c r="BN14" s="104">
        <f t="shared" si="4"/>
        <v>11624206.439999999</v>
      </c>
      <c r="BO14" s="101">
        <f t="shared" si="5"/>
        <v>6136219.5700000003</v>
      </c>
      <c r="BP14" s="104">
        <f>'Проверочная  таблица'!RM15</f>
        <v>2114900</v>
      </c>
      <c r="BQ14" s="101">
        <f>'Проверочная  таблица'!RN15</f>
        <v>1565175</v>
      </c>
      <c r="BR14" s="100">
        <f>'Проверочная  таблица'!RO15</f>
        <v>0</v>
      </c>
      <c r="BS14" s="100">
        <f>'Проверочная  таблица'!RP15</f>
        <v>0</v>
      </c>
      <c r="BT14" s="280">
        <f>'Проверочная  таблица'!RQ15</f>
        <v>0</v>
      </c>
      <c r="BU14" s="170">
        <f>'Проверочная  таблица'!RR15</f>
        <v>0</v>
      </c>
      <c r="BV14" s="172">
        <f>'Проверочная  таблица'!RS15</f>
        <v>0</v>
      </c>
      <c r="BW14" s="170">
        <f>'Проверочная  таблица'!RT15</f>
        <v>0</v>
      </c>
      <c r="BX14" s="172">
        <f>'Проверочная  таблица'!RU15</f>
        <v>0</v>
      </c>
      <c r="BY14" s="280">
        <f>'Проверочная  таблица'!RV15</f>
        <v>0</v>
      </c>
      <c r="BZ14" s="103">
        <f>'Проверочная  таблица'!RY15</f>
        <v>7694194.9500000002</v>
      </c>
      <c r="CA14" s="103">
        <f>'Проверочная  таблица'!SB15</f>
        <v>3574773.34</v>
      </c>
      <c r="CB14" s="103">
        <f>'Проверочная  таблица'!SC15</f>
        <v>515111.49</v>
      </c>
      <c r="CC14" s="101">
        <f>'Проверочная  таблица'!SD15</f>
        <v>0</v>
      </c>
      <c r="CD14" s="104">
        <f>'Проверочная  таблица'!SG15</f>
        <v>1300000</v>
      </c>
      <c r="CE14" s="103">
        <f>'Проверочная  таблица'!SJ15</f>
        <v>996271.23</v>
      </c>
      <c r="CF14" s="103">
        <f t="shared" si="6"/>
        <v>19530320</v>
      </c>
      <c r="CG14" s="101">
        <f t="shared" si="7"/>
        <v>14374822.699999999</v>
      </c>
      <c r="CH14" s="104">
        <f>'Проверочная  таблица'!SO15</f>
        <v>14530320</v>
      </c>
      <c r="CI14" s="103">
        <f>'Проверочная  таблица'!SR15</f>
        <v>9374822.6999999993</v>
      </c>
      <c r="CJ14" s="103">
        <f>'Проверочная  таблица'!ST15</f>
        <v>0</v>
      </c>
      <c r="CK14" s="103">
        <f>'Проверочная  таблица'!SW15</f>
        <v>0</v>
      </c>
      <c r="CL14" s="103">
        <f>'Проверочная  таблица'!SU15</f>
        <v>0</v>
      </c>
      <c r="CM14" s="101">
        <f>'Проверочная  таблица'!SX15</f>
        <v>0</v>
      </c>
      <c r="CN14" s="104">
        <f>'Проверочная  таблица'!SZ15+'Проверочная  таблица'!TD15</f>
        <v>0</v>
      </c>
      <c r="CO14" s="103">
        <f>'Проверочная  таблица'!TB15+'Проверочная  таблица'!TF15</f>
        <v>0</v>
      </c>
      <c r="CP14" s="103">
        <f>'Проверочная  таблица'!TM15+'Проверочная  таблица'!TS15</f>
        <v>0</v>
      </c>
      <c r="CQ14" s="101">
        <f>'Проверочная  таблица'!TP15+'Проверочная  таблица'!TV15</f>
        <v>0</v>
      </c>
      <c r="CR14" s="103">
        <f>'Проверочная  таблица'!UC15</f>
        <v>0</v>
      </c>
      <c r="CS14" s="103">
        <f>'Проверочная  таблица'!UF15</f>
        <v>0</v>
      </c>
      <c r="CT14" s="103">
        <f>'Проверочная  таблица'!UJ15</f>
        <v>0</v>
      </c>
      <c r="CU14" s="101">
        <f>'Проверочная  таблица'!UN15</f>
        <v>0</v>
      </c>
      <c r="CV14" s="104">
        <f>'Проверочная  таблица'!UI15</f>
        <v>5000000</v>
      </c>
      <c r="CW14" s="101">
        <f>'Проверочная  таблица'!UM15</f>
        <v>5000000</v>
      </c>
      <c r="CY14" s="937">
        <f t="shared" si="8"/>
        <v>9509.3064400000003</v>
      </c>
      <c r="CZ14" s="937">
        <f t="shared" si="9"/>
        <v>4571.04457</v>
      </c>
    </row>
    <row r="15" spans="1:104" ht="25.5" customHeight="1" x14ac:dyDescent="0.25">
      <c r="A15" s="105" t="s">
        <v>83</v>
      </c>
      <c r="B15" s="103">
        <f t="shared" si="0"/>
        <v>219914698.74000001</v>
      </c>
      <c r="C15" s="103">
        <f t="shared" si="1"/>
        <v>120745778.09000002</v>
      </c>
      <c r="D15" s="278">
        <f t="shared" si="2"/>
        <v>195575151.62</v>
      </c>
      <c r="E15" s="278">
        <f t="shared" si="3"/>
        <v>105972156.86000001</v>
      </c>
      <c r="F15" s="101">
        <f>'Проверочная  таблица'!CS16+'Проверочная  таблица'!CU16</f>
        <v>0</v>
      </c>
      <c r="G15" s="101">
        <f>'Проверочная  таблица'!CT16+'Проверочная  таблица'!CV16</f>
        <v>0</v>
      </c>
      <c r="H15" s="103">
        <f>'Проверочная  таблица'!DL16</f>
        <v>0</v>
      </c>
      <c r="I15" s="101">
        <f>'Проверочная  таблица'!DP16</f>
        <v>0</v>
      </c>
      <c r="J15" s="104">
        <f>'Проверочная  таблица'!DT16</f>
        <v>0</v>
      </c>
      <c r="K15" s="101">
        <f>'Проверочная  таблица'!EA16</f>
        <v>0</v>
      </c>
      <c r="L15" s="104">
        <f>'Проверочная  таблица'!DV16</f>
        <v>0</v>
      </c>
      <c r="M15" s="103">
        <f>'Проверочная  таблица'!EC16</f>
        <v>0</v>
      </c>
      <c r="N15" s="101">
        <f>'Проверочная  таблица'!EG16</f>
        <v>0</v>
      </c>
      <c r="O15" s="103">
        <f>'Проверочная  таблица'!EJ16</f>
        <v>0</v>
      </c>
      <c r="P15" s="103">
        <f>'Проверочная  таблица'!EM16</f>
        <v>0</v>
      </c>
      <c r="Q15" s="103">
        <f>'Проверочная  таблица'!ET16</f>
        <v>0</v>
      </c>
      <c r="R15" s="103">
        <f>'Проверочная  таблица'!EO16</f>
        <v>0</v>
      </c>
      <c r="S15" s="103">
        <f>'Проверочная  таблица'!EV16</f>
        <v>0</v>
      </c>
      <c r="T15" s="103">
        <f>'Проверочная  таблица'!EQ16</f>
        <v>0</v>
      </c>
      <c r="U15" s="101">
        <f>'Проверочная  таблица'!EX16</f>
        <v>0</v>
      </c>
      <c r="V15" s="104">
        <f>'Проверочная  таблица'!FA16</f>
        <v>0</v>
      </c>
      <c r="W15" s="101">
        <f>'Проверочная  таблица'!FD16</f>
        <v>0</v>
      </c>
      <c r="X15" s="104">
        <f>'Проверочная  таблица'!FG16</f>
        <v>0</v>
      </c>
      <c r="Y15" s="101">
        <f>'Проверочная  таблица'!FJ16</f>
        <v>0</v>
      </c>
      <c r="Z15" s="104">
        <f>'Проверочная  таблица'!FM16</f>
        <v>0</v>
      </c>
      <c r="AA15" s="103">
        <f>'Проверочная  таблица'!FP16</f>
        <v>0</v>
      </c>
      <c r="AB15" s="103">
        <f>'Проверочная  таблица'!FS16+'Проверочная  таблица'!FY16</f>
        <v>0</v>
      </c>
      <c r="AC15" s="103">
        <f>'Проверочная  таблица'!FV16+'Проверочная  таблица'!GB16</f>
        <v>0</v>
      </c>
      <c r="AD15" s="103">
        <f>'Проверочная  таблица'!GI16</f>
        <v>10550900</v>
      </c>
      <c r="AE15" s="103">
        <f>'Проверочная  таблица'!GL16</f>
        <v>8036778.5099999998</v>
      </c>
      <c r="AF15" s="103">
        <f>'Проверочная  таблица'!MK16</f>
        <v>4779241</v>
      </c>
      <c r="AG15" s="101">
        <f>'Проверочная  таблица'!MP16</f>
        <v>0</v>
      </c>
      <c r="AH15" s="104">
        <f>'Проверочная  таблица'!GO16+'Проверочная  таблица'!GU16</f>
        <v>0</v>
      </c>
      <c r="AI15" s="103">
        <f>'Проверочная  таблица'!GR16+'Проверочная  таблица'!GX16</f>
        <v>0</v>
      </c>
      <c r="AJ15" s="103">
        <f>'Проверочная  таблица'!HM16</f>
        <v>0</v>
      </c>
      <c r="AK15" s="101">
        <f>'Проверочная  таблица'!HP16</f>
        <v>0</v>
      </c>
      <c r="AL15" s="104">
        <f>'Проверочная  таблица'!HS16+'Проверочная  таблица'!HY16</f>
        <v>1008356.1</v>
      </c>
      <c r="AM15" s="103">
        <f>'Проверочная  таблица'!HV16+'Проверочная  таблица'!IB16</f>
        <v>949826.23</v>
      </c>
      <c r="AN15" s="103">
        <f>'Проверочная  таблица'!IU16+'Проверочная  таблица'!JO16</f>
        <v>21705700</v>
      </c>
      <c r="AO15" s="103">
        <f>'Проверочная  таблица'!JT16+'Проверочная  таблица'!JE16</f>
        <v>2592884.21</v>
      </c>
      <c r="AP15" s="103">
        <f>'Проверочная  таблица'!IY16</f>
        <v>5000387.37</v>
      </c>
      <c r="AQ15" s="103">
        <f>'Проверочная  таблица'!JI16</f>
        <v>5000387.37</v>
      </c>
      <c r="AR15" s="103">
        <f>'Проверочная  таблица'!IW16</f>
        <v>0</v>
      </c>
      <c r="AS15" s="101">
        <f>'Проверочная  таблица'!JG16</f>
        <v>0</v>
      </c>
      <c r="AT15" s="103">
        <f>'Проверочная  таблица'!IS16+'Проверочная  таблица'!JM16</f>
        <v>0</v>
      </c>
      <c r="AU15" s="101">
        <f>'Проверочная  таблица'!JC16+'Проверочная  таблица'!JR16</f>
        <v>0</v>
      </c>
      <c r="AV15" s="104">
        <f>'Проверочная  таблица'!KQ16</f>
        <v>0</v>
      </c>
      <c r="AW15" s="103">
        <f>'Проверочная  таблица'!KU16</f>
        <v>0</v>
      </c>
      <c r="AX15" s="103">
        <f>'Проверочная  таблица'!LC16+'Проверочная  таблица'!LK16</f>
        <v>0</v>
      </c>
      <c r="AY15" s="101">
        <f>'Проверочная  таблица'!LG16+'Проверочная  таблица'!LO16</f>
        <v>0</v>
      </c>
      <c r="AZ15" s="103">
        <f>'Проверочная  таблица'!MI16</f>
        <v>2347567.15</v>
      </c>
      <c r="BA15" s="101">
        <f>'Проверочная  таблица'!MN16</f>
        <v>1509530.69</v>
      </c>
      <c r="BB15" s="100">
        <f>'Проверочная  таблица'!NM16</f>
        <v>0</v>
      </c>
      <c r="BC15" s="101">
        <f>'Проверочная  таблица'!NP16</f>
        <v>0</v>
      </c>
      <c r="BD15" s="103">
        <f>'Проверочная  таблица'!OG16</f>
        <v>28724600</v>
      </c>
      <c r="BE15" s="101">
        <f>'Проверочная  таблица'!ON16</f>
        <v>11283835.609999999</v>
      </c>
      <c r="BF15" s="103">
        <f>'Проверочная  таблица'!NS16+'Проверочная  таблица'!OI16</f>
        <v>0</v>
      </c>
      <c r="BG15" s="103">
        <f>'Проверочная  таблица'!NZ16+'Проверочная  таблица'!OP16</f>
        <v>0</v>
      </c>
      <c r="BH15" s="103">
        <f>'Проверочная  таблица'!NU16</f>
        <v>0</v>
      </c>
      <c r="BI15" s="101">
        <f>'Проверочная  таблица'!OB16</f>
        <v>0</v>
      </c>
      <c r="BJ15" s="104">
        <f>'Проверочная  таблица'!OK16+'Проверочная  таблица'!NW16</f>
        <v>121458400</v>
      </c>
      <c r="BK15" s="103">
        <f>'Проверочная  таблица'!OR16+'Проверочная  таблица'!OD16</f>
        <v>76598914.24000001</v>
      </c>
      <c r="BL15" s="103">
        <f>'Проверочная  таблица'!PW16+'Проверочная  таблица'!QC16</f>
        <v>0</v>
      </c>
      <c r="BM15" s="101">
        <f>'Проверочная  таблица'!PZ16+'Проверочная  таблица'!QF16</f>
        <v>0</v>
      </c>
      <c r="BN15" s="104">
        <f t="shared" si="4"/>
        <v>9574867.1199999992</v>
      </c>
      <c r="BO15" s="101">
        <f t="shared" si="5"/>
        <v>4950781.2300000004</v>
      </c>
      <c r="BP15" s="104">
        <f>'Проверочная  таблица'!RM16</f>
        <v>1824800</v>
      </c>
      <c r="BQ15" s="101">
        <f>'Проверочная  таблица'!RN16</f>
        <v>1179672.5</v>
      </c>
      <c r="BR15" s="100">
        <f>'Проверочная  таблица'!RO16</f>
        <v>4000</v>
      </c>
      <c r="BS15" s="100">
        <f>'Проверочная  таблица'!RP16</f>
        <v>0</v>
      </c>
      <c r="BT15" s="280">
        <f>'Проверочная  таблица'!RQ16</f>
        <v>0</v>
      </c>
      <c r="BU15" s="170">
        <f>'Проверочная  таблица'!RR16</f>
        <v>0</v>
      </c>
      <c r="BV15" s="172">
        <f>'Проверочная  таблица'!RS16</f>
        <v>0</v>
      </c>
      <c r="BW15" s="170">
        <f>'Проверочная  таблица'!RT16</f>
        <v>0</v>
      </c>
      <c r="BX15" s="172">
        <f>'Проверочная  таблица'!RU16</f>
        <v>0</v>
      </c>
      <c r="BY15" s="280">
        <f>'Проверочная  таблица'!RV16</f>
        <v>0</v>
      </c>
      <c r="BZ15" s="103">
        <f>'Проверочная  таблица'!RY16</f>
        <v>6085876.6100000003</v>
      </c>
      <c r="CA15" s="103">
        <f>'Проверочная  таблица'!SB16</f>
        <v>2791716.08</v>
      </c>
      <c r="CB15" s="103">
        <f>'Проверочная  таблица'!SC16</f>
        <v>364190.51</v>
      </c>
      <c r="CC15" s="101">
        <f>'Проверочная  таблица'!SD16</f>
        <v>0</v>
      </c>
      <c r="CD15" s="104">
        <f>'Проверочная  таблица'!SG16</f>
        <v>1296000</v>
      </c>
      <c r="CE15" s="103">
        <f>'Проверочная  таблица'!SJ16</f>
        <v>979392.65</v>
      </c>
      <c r="CF15" s="103">
        <f t="shared" si="6"/>
        <v>14764680</v>
      </c>
      <c r="CG15" s="101">
        <f t="shared" si="7"/>
        <v>9822840</v>
      </c>
      <c r="CH15" s="104">
        <f>'Проверочная  таблица'!SO16</f>
        <v>14764680</v>
      </c>
      <c r="CI15" s="103">
        <f>'Проверочная  таблица'!SR16</f>
        <v>9822840</v>
      </c>
      <c r="CJ15" s="103">
        <f>'Проверочная  таблица'!ST16</f>
        <v>0</v>
      </c>
      <c r="CK15" s="103">
        <f>'Проверочная  таблица'!SW16</f>
        <v>0</v>
      </c>
      <c r="CL15" s="103">
        <f>'Проверочная  таблица'!SU16</f>
        <v>0</v>
      </c>
      <c r="CM15" s="101">
        <f>'Проверочная  таблица'!SX16</f>
        <v>0</v>
      </c>
      <c r="CN15" s="104">
        <f>'Проверочная  таблица'!SZ16+'Проверочная  таблица'!TD16</f>
        <v>0</v>
      </c>
      <c r="CO15" s="103">
        <f>'Проверочная  таблица'!TB16+'Проверочная  таблица'!TF16</f>
        <v>0</v>
      </c>
      <c r="CP15" s="103">
        <f>'Проверочная  таблица'!TM16+'Проверочная  таблица'!TS16</f>
        <v>0</v>
      </c>
      <c r="CQ15" s="101">
        <f>'Проверочная  таблица'!TP16+'Проверочная  таблица'!TV16</f>
        <v>0</v>
      </c>
      <c r="CR15" s="103">
        <f>'Проверочная  таблица'!UC16</f>
        <v>0</v>
      </c>
      <c r="CS15" s="103">
        <f>'Проверочная  таблица'!UF16</f>
        <v>0</v>
      </c>
      <c r="CT15" s="103">
        <f>'Проверочная  таблица'!UJ16</f>
        <v>0</v>
      </c>
      <c r="CU15" s="101">
        <f>'Проверочная  таблица'!UN16</f>
        <v>0</v>
      </c>
      <c r="CV15" s="104">
        <f>'Проверочная  таблица'!UI16</f>
        <v>0</v>
      </c>
      <c r="CW15" s="101">
        <f>'Проверочная  таблица'!UM16</f>
        <v>0</v>
      </c>
      <c r="CY15" s="937">
        <f t="shared" si="8"/>
        <v>7750.0671199999988</v>
      </c>
      <c r="CZ15" s="937">
        <f t="shared" si="9"/>
        <v>3771.1087300000004</v>
      </c>
    </row>
    <row r="16" spans="1:104" ht="25.5" customHeight="1" x14ac:dyDescent="0.25">
      <c r="A16" s="102" t="s">
        <v>84</v>
      </c>
      <c r="B16" s="103">
        <f t="shared" si="0"/>
        <v>21365855.670000002</v>
      </c>
      <c r="C16" s="103">
        <f t="shared" si="1"/>
        <v>12098515.440000001</v>
      </c>
      <c r="D16" s="278">
        <f t="shared" si="2"/>
        <v>5217451.7</v>
      </c>
      <c r="E16" s="278">
        <f t="shared" si="3"/>
        <v>1890086.09</v>
      </c>
      <c r="F16" s="101">
        <f>'Проверочная  таблица'!CS17+'Проверочная  таблица'!CU17</f>
        <v>0</v>
      </c>
      <c r="G16" s="101">
        <f>'Проверочная  таблица'!CT17+'Проверочная  таблица'!CV17</f>
        <v>0</v>
      </c>
      <c r="H16" s="103">
        <f>'Проверочная  таблица'!DL17</f>
        <v>0</v>
      </c>
      <c r="I16" s="101">
        <f>'Проверочная  таблица'!DP17</f>
        <v>0</v>
      </c>
      <c r="J16" s="104">
        <f>'Проверочная  таблица'!DT17</f>
        <v>0</v>
      </c>
      <c r="K16" s="101">
        <f>'Проверочная  таблица'!EA17</f>
        <v>0</v>
      </c>
      <c r="L16" s="104">
        <f>'Проверочная  таблица'!DV17</f>
        <v>0</v>
      </c>
      <c r="M16" s="103">
        <f>'Проверочная  таблица'!EC17</f>
        <v>0</v>
      </c>
      <c r="N16" s="101">
        <f>'Проверочная  таблица'!EG17</f>
        <v>0</v>
      </c>
      <c r="O16" s="103">
        <f>'Проверочная  таблица'!EJ17</f>
        <v>0</v>
      </c>
      <c r="P16" s="103">
        <f>'Проверочная  таблица'!EM17</f>
        <v>2305650</v>
      </c>
      <c r="Q16" s="103">
        <f>'Проверочная  таблица'!ET17</f>
        <v>457273.29</v>
      </c>
      <c r="R16" s="103">
        <f>'Проверочная  таблица'!EO17</f>
        <v>0</v>
      </c>
      <c r="S16" s="103">
        <f>'Проверочная  таблица'!EV17</f>
        <v>0</v>
      </c>
      <c r="T16" s="103">
        <f>'Проверочная  таблица'!EQ17</f>
        <v>0</v>
      </c>
      <c r="U16" s="101">
        <f>'Проверочная  таблица'!EX17</f>
        <v>0</v>
      </c>
      <c r="V16" s="104">
        <f>'Проверочная  таблица'!FA17</f>
        <v>0</v>
      </c>
      <c r="W16" s="101">
        <f>'Проверочная  таблица'!FD17</f>
        <v>0</v>
      </c>
      <c r="X16" s="104">
        <f>'Проверочная  таблица'!FG17</f>
        <v>0</v>
      </c>
      <c r="Y16" s="101">
        <f>'Проверочная  таблица'!FJ17</f>
        <v>0</v>
      </c>
      <c r="Z16" s="104">
        <f>'Проверочная  таблица'!FM17</f>
        <v>0</v>
      </c>
      <c r="AA16" s="103">
        <f>'Проверочная  таблица'!FP17</f>
        <v>0</v>
      </c>
      <c r="AB16" s="103">
        <f>'Проверочная  таблица'!FS17+'Проверочная  таблица'!FY17</f>
        <v>0</v>
      </c>
      <c r="AC16" s="103">
        <f>'Проверочная  таблица'!FV17+'Проверочная  таблица'!GB17</f>
        <v>0</v>
      </c>
      <c r="AD16" s="103">
        <f>'Проверочная  таблица'!GI17</f>
        <v>0</v>
      </c>
      <c r="AE16" s="103">
        <f>'Проверочная  таблица'!GL17</f>
        <v>0</v>
      </c>
      <c r="AF16" s="103">
        <f>'Проверочная  таблица'!MK17</f>
        <v>0</v>
      </c>
      <c r="AG16" s="101">
        <f>'Проверочная  таблица'!MP17</f>
        <v>0</v>
      </c>
      <c r="AH16" s="104">
        <f>'Проверочная  таблица'!GO17+'Проверочная  таблица'!GU17</f>
        <v>759463.75</v>
      </c>
      <c r="AI16" s="103">
        <f>'Проверочная  таблица'!GR17+'Проверочная  таблица'!GX17</f>
        <v>171277.99</v>
      </c>
      <c r="AJ16" s="103">
        <f>'Проверочная  таблица'!HM17</f>
        <v>0</v>
      </c>
      <c r="AK16" s="101">
        <f>'Проверочная  таблица'!HP17</f>
        <v>0</v>
      </c>
      <c r="AL16" s="104">
        <f>'Проверочная  таблица'!HS17+'Проверочная  таблица'!HY17</f>
        <v>1261534.81</v>
      </c>
      <c r="AM16" s="103">
        <f>'Проверочная  таблица'!HV17+'Проверочная  таблица'!IB17</f>
        <v>1261534.81</v>
      </c>
      <c r="AN16" s="103">
        <f>'Проверочная  таблица'!IU17+'Проверочная  таблица'!JO17</f>
        <v>0</v>
      </c>
      <c r="AO16" s="103">
        <f>'Проверочная  таблица'!JT17+'Проверочная  таблица'!JE17</f>
        <v>0</v>
      </c>
      <c r="AP16" s="103">
        <f>'Проверочная  таблица'!IY17</f>
        <v>0</v>
      </c>
      <c r="AQ16" s="103">
        <f>'Проверочная  таблица'!JI17</f>
        <v>0</v>
      </c>
      <c r="AR16" s="103">
        <f>'Проверочная  таблица'!IW17</f>
        <v>0</v>
      </c>
      <c r="AS16" s="101">
        <f>'Проверочная  таблица'!JG17</f>
        <v>0</v>
      </c>
      <c r="AT16" s="103">
        <f>'Проверочная  таблица'!IS17+'Проверочная  таблица'!JM17</f>
        <v>0</v>
      </c>
      <c r="AU16" s="101">
        <f>'Проверочная  таблица'!JC17+'Проверочная  таблица'!JR17</f>
        <v>0</v>
      </c>
      <c r="AV16" s="104">
        <f>'Проверочная  таблица'!KQ17</f>
        <v>0</v>
      </c>
      <c r="AW16" s="103">
        <f>'Проверочная  таблица'!KU17</f>
        <v>0</v>
      </c>
      <c r="AX16" s="103">
        <f>'Проверочная  таблица'!LC17+'Проверочная  таблица'!LK17</f>
        <v>0</v>
      </c>
      <c r="AY16" s="101">
        <f>'Проверочная  таблица'!LG17+'Проверочная  таблица'!LO17</f>
        <v>0</v>
      </c>
      <c r="AZ16" s="103">
        <f>'Проверочная  таблица'!MI17</f>
        <v>890803.1399999999</v>
      </c>
      <c r="BA16" s="101">
        <f>'Проверочная  таблица'!MN17</f>
        <v>0</v>
      </c>
      <c r="BB16" s="100">
        <f>'Проверочная  таблица'!NM17</f>
        <v>0</v>
      </c>
      <c r="BC16" s="101">
        <f>'Проверочная  таблица'!NP17</f>
        <v>0</v>
      </c>
      <c r="BD16" s="103">
        <f>'Проверочная  таблица'!OG17</f>
        <v>0</v>
      </c>
      <c r="BE16" s="101">
        <f>'Проверочная  таблица'!ON17</f>
        <v>0</v>
      </c>
      <c r="BF16" s="103">
        <f>'Проверочная  таблица'!NS17+'Проверочная  таблица'!OI17</f>
        <v>0</v>
      </c>
      <c r="BG16" s="103">
        <f>'Проверочная  таблица'!NZ17+'Проверочная  таблица'!OP17</f>
        <v>0</v>
      </c>
      <c r="BH16" s="103">
        <f>'Проверочная  таблица'!NU17</f>
        <v>0</v>
      </c>
      <c r="BI16" s="101">
        <f>'Проверочная  таблица'!OB17</f>
        <v>0</v>
      </c>
      <c r="BJ16" s="104">
        <f>'Проверочная  таблица'!OK17+'Проверочная  таблица'!NW17</f>
        <v>0</v>
      </c>
      <c r="BK16" s="103">
        <f>'Проверочная  таблица'!OR17+'Проверочная  таблица'!OD17</f>
        <v>0</v>
      </c>
      <c r="BL16" s="103">
        <f>'Проверочная  таблица'!PW17+'Проверочная  таблица'!QC17</f>
        <v>0</v>
      </c>
      <c r="BM16" s="101">
        <f>'Проверочная  таблица'!PZ17+'Проверочная  таблица'!QF17</f>
        <v>0</v>
      </c>
      <c r="BN16" s="104">
        <f t="shared" si="4"/>
        <v>5758443.9699999997</v>
      </c>
      <c r="BO16" s="101">
        <f t="shared" si="5"/>
        <v>2790097.06</v>
      </c>
      <c r="BP16" s="104">
        <f>'Проверочная  таблица'!RM17</f>
        <v>1146600</v>
      </c>
      <c r="BQ16" s="101">
        <f>'Проверочная  таблица'!RN17</f>
        <v>770169.83</v>
      </c>
      <c r="BR16" s="100">
        <f>'Проверочная  таблица'!RO17</f>
        <v>5000</v>
      </c>
      <c r="BS16" s="100">
        <f>'Проверочная  таблица'!RP17</f>
        <v>5000</v>
      </c>
      <c r="BT16" s="280">
        <f>'Проверочная  таблица'!RQ17</f>
        <v>0</v>
      </c>
      <c r="BU16" s="170">
        <f>'Проверочная  таблица'!RR17</f>
        <v>0</v>
      </c>
      <c r="BV16" s="172">
        <f>'Проверочная  таблица'!RS17</f>
        <v>0</v>
      </c>
      <c r="BW16" s="170">
        <f>'Проверочная  таблица'!RT17</f>
        <v>0</v>
      </c>
      <c r="BX16" s="172">
        <f>'Проверочная  таблица'!RU17</f>
        <v>0</v>
      </c>
      <c r="BY16" s="280">
        <f>'Проверочная  таблица'!RV17</f>
        <v>0</v>
      </c>
      <c r="BZ16" s="103">
        <f>'Проверочная  таблица'!RY17</f>
        <v>3493267.44</v>
      </c>
      <c r="CA16" s="103">
        <f>'Проверочная  таблица'!SB17</f>
        <v>1449316.87</v>
      </c>
      <c r="CB16" s="103">
        <f>'Проверочная  таблица'!SC17</f>
        <v>263576.52999999997</v>
      </c>
      <c r="CC16" s="101">
        <f>'Проверочная  таблица'!SD17</f>
        <v>0</v>
      </c>
      <c r="CD16" s="104">
        <f>'Проверочная  таблица'!SG17</f>
        <v>850000</v>
      </c>
      <c r="CE16" s="103">
        <f>'Проверочная  таблица'!SJ17</f>
        <v>565610.36</v>
      </c>
      <c r="CF16" s="103">
        <f t="shared" si="6"/>
        <v>10389960</v>
      </c>
      <c r="CG16" s="101">
        <f t="shared" si="7"/>
        <v>7418332.29</v>
      </c>
      <c r="CH16" s="104">
        <f>'Проверочная  таблица'!SO17</f>
        <v>10389960</v>
      </c>
      <c r="CI16" s="103">
        <f>'Проверочная  таблица'!SR17</f>
        <v>7418332.29</v>
      </c>
      <c r="CJ16" s="103">
        <f>'Проверочная  таблица'!ST17</f>
        <v>0</v>
      </c>
      <c r="CK16" s="103">
        <f>'Проверочная  таблица'!SW17</f>
        <v>0</v>
      </c>
      <c r="CL16" s="103">
        <f>'Проверочная  таблица'!SU17</f>
        <v>0</v>
      </c>
      <c r="CM16" s="101">
        <f>'Проверочная  таблица'!SX17</f>
        <v>0</v>
      </c>
      <c r="CN16" s="104">
        <f>'Проверочная  таблица'!SZ17+'Проверочная  таблица'!TD17</f>
        <v>0</v>
      </c>
      <c r="CO16" s="103">
        <f>'Проверочная  таблица'!TB17+'Проверочная  таблица'!TF17</f>
        <v>0</v>
      </c>
      <c r="CP16" s="103">
        <f>'Проверочная  таблица'!TM17+'Проверочная  таблица'!TS17</f>
        <v>0</v>
      </c>
      <c r="CQ16" s="101">
        <f>'Проверочная  таблица'!TP17+'Проверочная  таблица'!TV17</f>
        <v>0</v>
      </c>
      <c r="CR16" s="103">
        <f>'Проверочная  таблица'!UC17</f>
        <v>0</v>
      </c>
      <c r="CS16" s="103">
        <f>'Проверочная  таблица'!UF17</f>
        <v>0</v>
      </c>
      <c r="CT16" s="103">
        <f>'Проверочная  таблица'!UJ17</f>
        <v>0</v>
      </c>
      <c r="CU16" s="101">
        <f>'Проверочная  таблица'!UN17</f>
        <v>0</v>
      </c>
      <c r="CV16" s="104">
        <f>'Проверочная  таблица'!UI17</f>
        <v>0</v>
      </c>
      <c r="CW16" s="101">
        <f>'Проверочная  таблица'!UM17</f>
        <v>0</v>
      </c>
      <c r="CY16" s="937">
        <f t="shared" si="8"/>
        <v>4611.8439699999999</v>
      </c>
      <c r="CZ16" s="937">
        <f t="shared" si="9"/>
        <v>2019.92723</v>
      </c>
    </row>
    <row r="17" spans="1:104" ht="25.5" customHeight="1" x14ac:dyDescent="0.25">
      <c r="A17" s="105" t="s">
        <v>85</v>
      </c>
      <c r="B17" s="103">
        <f t="shared" si="0"/>
        <v>269613678.85000002</v>
      </c>
      <c r="C17" s="103">
        <f t="shared" si="1"/>
        <v>67008290.760000005</v>
      </c>
      <c r="D17" s="278">
        <f t="shared" si="2"/>
        <v>241225593.77000001</v>
      </c>
      <c r="E17" s="278">
        <f t="shared" si="3"/>
        <v>48702208.620000005</v>
      </c>
      <c r="F17" s="101">
        <f>'Проверочная  таблица'!CS18+'Проверочная  таблица'!CU18</f>
        <v>20808169.59</v>
      </c>
      <c r="G17" s="101">
        <f>'Проверочная  таблица'!CT18+'Проверочная  таблица'!CV18</f>
        <v>8191471.8899999997</v>
      </c>
      <c r="H17" s="103">
        <f>'Проверочная  таблица'!DL18</f>
        <v>0</v>
      </c>
      <c r="I17" s="101">
        <f>'Проверочная  таблица'!DP18</f>
        <v>0</v>
      </c>
      <c r="J17" s="104">
        <f>'Проверочная  таблица'!DT18</f>
        <v>0</v>
      </c>
      <c r="K17" s="101">
        <f>'Проверочная  таблица'!EA18</f>
        <v>0</v>
      </c>
      <c r="L17" s="104">
        <f>'Проверочная  таблица'!DV18</f>
        <v>0</v>
      </c>
      <c r="M17" s="103">
        <f>'Проверочная  таблица'!EC18</f>
        <v>0</v>
      </c>
      <c r="N17" s="101">
        <f>'Проверочная  таблица'!EG18</f>
        <v>2685700</v>
      </c>
      <c r="O17" s="103">
        <f>'Проверочная  таблица'!EJ18</f>
        <v>0</v>
      </c>
      <c r="P17" s="103">
        <f>'Проверочная  таблица'!EM18</f>
        <v>0</v>
      </c>
      <c r="Q17" s="103">
        <f>'Проверочная  таблица'!ET18</f>
        <v>0</v>
      </c>
      <c r="R17" s="103">
        <f>'Проверочная  таблица'!EO18</f>
        <v>0</v>
      </c>
      <c r="S17" s="103">
        <f>'Проверочная  таблица'!EV18</f>
        <v>0</v>
      </c>
      <c r="T17" s="103">
        <f>'Проверочная  таблица'!EQ18</f>
        <v>0</v>
      </c>
      <c r="U17" s="101">
        <f>'Проверочная  таблица'!EX18</f>
        <v>0</v>
      </c>
      <c r="V17" s="104">
        <f>'Проверочная  таблица'!FA18</f>
        <v>0</v>
      </c>
      <c r="W17" s="101">
        <f>'Проверочная  таблица'!FD18</f>
        <v>0</v>
      </c>
      <c r="X17" s="104">
        <f>'Проверочная  таблица'!FG18</f>
        <v>0</v>
      </c>
      <c r="Y17" s="101">
        <f>'Проверочная  таблица'!FJ18</f>
        <v>0</v>
      </c>
      <c r="Z17" s="104">
        <f>'Проверочная  таблица'!FM18</f>
        <v>62343714.469999999</v>
      </c>
      <c r="AA17" s="103">
        <f>'Проверочная  таблица'!FP18</f>
        <v>17405719.52</v>
      </c>
      <c r="AB17" s="103">
        <f>'Проверочная  таблица'!FS18+'Проверочная  таблица'!FY18</f>
        <v>0</v>
      </c>
      <c r="AC17" s="103">
        <f>'Проверочная  таблица'!FV18+'Проверочная  таблица'!GB18</f>
        <v>0</v>
      </c>
      <c r="AD17" s="103">
        <f>'Проверочная  таблица'!GI18</f>
        <v>0</v>
      </c>
      <c r="AE17" s="103">
        <f>'Проверочная  таблица'!GL18</f>
        <v>0</v>
      </c>
      <c r="AF17" s="103">
        <f>'Проверочная  таблица'!MK18</f>
        <v>659680</v>
      </c>
      <c r="AG17" s="101">
        <f>'Проверочная  таблица'!MP18</f>
        <v>0</v>
      </c>
      <c r="AH17" s="104">
        <f>'Проверочная  таблица'!GO18+'Проверочная  таблица'!GU18</f>
        <v>292836.86</v>
      </c>
      <c r="AI17" s="103">
        <f>'Проверочная  таблица'!GR18+'Проверочная  таблица'!GX18</f>
        <v>278375.43</v>
      </c>
      <c r="AJ17" s="103">
        <f>'Проверочная  таблица'!HM18</f>
        <v>0</v>
      </c>
      <c r="AK17" s="101">
        <f>'Проверочная  таблица'!HP18</f>
        <v>0</v>
      </c>
      <c r="AL17" s="104">
        <f>'Проверочная  таблица'!HS18+'Проверочная  таблица'!HY18</f>
        <v>405391.25</v>
      </c>
      <c r="AM17" s="103">
        <f>'Проверочная  таблица'!HV18+'Проверочная  таблица'!IB18</f>
        <v>405391.25</v>
      </c>
      <c r="AN17" s="103">
        <f>'Проверочная  таблица'!IU18+'Проверочная  таблица'!JO18</f>
        <v>0</v>
      </c>
      <c r="AO17" s="103">
        <f>'Проверочная  таблица'!JT18+'Проверочная  таблица'!JE18</f>
        <v>0</v>
      </c>
      <c r="AP17" s="103">
        <f>'Проверочная  таблица'!IY18</f>
        <v>5000387.37</v>
      </c>
      <c r="AQ17" s="103">
        <f>'Проверочная  таблица'!JI18</f>
        <v>5000387.37</v>
      </c>
      <c r="AR17" s="103">
        <f>'Проверочная  таблица'!IW18</f>
        <v>0</v>
      </c>
      <c r="AS17" s="101">
        <f>'Проверочная  таблица'!JG18</f>
        <v>0</v>
      </c>
      <c r="AT17" s="103">
        <f>'Проверочная  таблица'!IS18+'Проверочная  таблица'!JM18</f>
        <v>0</v>
      </c>
      <c r="AU17" s="101">
        <f>'Проверочная  таблица'!JC18+'Проверочная  таблица'!JR18</f>
        <v>0</v>
      </c>
      <c r="AV17" s="104">
        <f>'Проверочная  таблица'!KQ18</f>
        <v>0</v>
      </c>
      <c r="AW17" s="103">
        <f>'Проверочная  таблица'!KU18</f>
        <v>0</v>
      </c>
      <c r="AX17" s="103">
        <f>'Проверочная  таблица'!LC18+'Проверочная  таблица'!LK18</f>
        <v>0</v>
      </c>
      <c r="AY17" s="101">
        <f>'Проверочная  таблица'!LG18+'Проверочная  таблица'!LO18</f>
        <v>0</v>
      </c>
      <c r="AZ17" s="103">
        <f>'Проверочная  таблица'!MI18</f>
        <v>2278314.23</v>
      </c>
      <c r="BA17" s="101">
        <f>'Проверочная  таблица'!MN18</f>
        <v>2269948.52</v>
      </c>
      <c r="BB17" s="100">
        <f>'Проверочная  таблица'!NM18</f>
        <v>0</v>
      </c>
      <c r="BC17" s="101">
        <f>'Проверочная  таблица'!NP18</f>
        <v>0</v>
      </c>
      <c r="BD17" s="103">
        <f>'Проверочная  таблица'!OG18</f>
        <v>0</v>
      </c>
      <c r="BE17" s="101">
        <f>'Проверочная  таблица'!ON18</f>
        <v>0</v>
      </c>
      <c r="BF17" s="103">
        <f>'Проверочная  таблица'!NS18+'Проверочная  таблица'!OI18</f>
        <v>0</v>
      </c>
      <c r="BG17" s="103">
        <f>'Проверочная  таблица'!NZ18+'Проверочная  таблица'!OP18</f>
        <v>0</v>
      </c>
      <c r="BH17" s="103">
        <f>'Проверочная  таблица'!NU18</f>
        <v>146751400</v>
      </c>
      <c r="BI17" s="101">
        <f>'Проверочная  таблица'!OB18</f>
        <v>15150914.640000001</v>
      </c>
      <c r="BJ17" s="104">
        <f>'Проверочная  таблица'!OK18+'Проверочная  таблица'!NW18</f>
        <v>0</v>
      </c>
      <c r="BK17" s="103">
        <f>'Проверочная  таблица'!OR18+'Проверочная  таблица'!OD18</f>
        <v>0</v>
      </c>
      <c r="BL17" s="103">
        <f>'Проверочная  таблица'!PW18+'Проверочная  таблица'!QC18</f>
        <v>0</v>
      </c>
      <c r="BM17" s="101">
        <f>'Проверочная  таблица'!PZ18+'Проверочная  таблица'!QF18</f>
        <v>0</v>
      </c>
      <c r="BN17" s="104">
        <f t="shared" si="4"/>
        <v>13623405.08</v>
      </c>
      <c r="BO17" s="101">
        <f t="shared" si="5"/>
        <v>8476213.1799999997</v>
      </c>
      <c r="BP17" s="104">
        <f>'Проверочная  таблица'!RM18</f>
        <v>1865100</v>
      </c>
      <c r="BQ17" s="101">
        <f>'Проверочная  таблица'!RN18</f>
        <v>1360310</v>
      </c>
      <c r="BR17" s="100">
        <f>'Проверочная  таблица'!RO18</f>
        <v>5000</v>
      </c>
      <c r="BS17" s="100">
        <f>'Проверочная  таблица'!RP18</f>
        <v>0</v>
      </c>
      <c r="BT17" s="280">
        <f>'Проверочная  таблица'!RQ18</f>
        <v>1611620</v>
      </c>
      <c r="BU17" s="170">
        <f>'Проверочная  таблица'!RR18</f>
        <v>1407852</v>
      </c>
      <c r="BV17" s="172">
        <f>'Проверочная  таблица'!RS18</f>
        <v>0</v>
      </c>
      <c r="BW17" s="170">
        <f>'Проверочная  таблица'!RT18</f>
        <v>0</v>
      </c>
      <c r="BX17" s="172">
        <f>'Проверочная  таблица'!RU18</f>
        <v>1499077</v>
      </c>
      <c r="BY17" s="280">
        <f>'Проверочная  таблица'!RV18</f>
        <v>1407852</v>
      </c>
      <c r="BZ17" s="103">
        <f>'Проверочная  таблица'!RY18</f>
        <v>6767803.5800000001</v>
      </c>
      <c r="CA17" s="103">
        <f>'Проверочная  таблица'!SB18</f>
        <v>3360923.44</v>
      </c>
      <c r="CB17" s="103">
        <f>'Проверочная  таблица'!SC18</f>
        <v>464804.5</v>
      </c>
      <c r="CC17" s="101">
        <f>'Проверочная  таблица'!SD18</f>
        <v>0</v>
      </c>
      <c r="CD17" s="104">
        <f>'Проверочная  таблица'!SG18</f>
        <v>1410000</v>
      </c>
      <c r="CE17" s="103">
        <f>'Проверочная  таблица'!SJ18</f>
        <v>939275.74</v>
      </c>
      <c r="CF17" s="103">
        <f t="shared" si="6"/>
        <v>14764680</v>
      </c>
      <c r="CG17" s="101">
        <f t="shared" si="7"/>
        <v>9829868.9600000009</v>
      </c>
      <c r="CH17" s="104">
        <f>'Проверочная  таблица'!SO18</f>
        <v>14764680</v>
      </c>
      <c r="CI17" s="103">
        <f>'Проверочная  таблица'!SR18</f>
        <v>9829868.9600000009</v>
      </c>
      <c r="CJ17" s="103">
        <f>'Проверочная  таблица'!ST18</f>
        <v>0</v>
      </c>
      <c r="CK17" s="103">
        <f>'Проверочная  таблица'!SW18</f>
        <v>0</v>
      </c>
      <c r="CL17" s="103">
        <f>'Проверочная  таблица'!SU18</f>
        <v>0</v>
      </c>
      <c r="CM17" s="101">
        <f>'Проверочная  таблица'!SX18</f>
        <v>0</v>
      </c>
      <c r="CN17" s="104">
        <f>'Проверочная  таблица'!SZ18+'Проверочная  таблица'!TD18</f>
        <v>0</v>
      </c>
      <c r="CO17" s="103">
        <f>'Проверочная  таблица'!TB18+'Проверочная  таблица'!TF18</f>
        <v>0</v>
      </c>
      <c r="CP17" s="103">
        <f>'Проверочная  таблица'!TM18+'Проверочная  таблица'!TS18</f>
        <v>0</v>
      </c>
      <c r="CQ17" s="101">
        <f>'Проверочная  таблица'!TP18+'Проверочная  таблица'!TV18</f>
        <v>0</v>
      </c>
      <c r="CR17" s="103">
        <f>'Проверочная  таблица'!UC18</f>
        <v>0</v>
      </c>
      <c r="CS17" s="103">
        <f>'Проверочная  таблица'!UF18</f>
        <v>0</v>
      </c>
      <c r="CT17" s="103">
        <f>'Проверочная  таблица'!UJ18</f>
        <v>0</v>
      </c>
      <c r="CU17" s="101">
        <f>'Проверочная  таблица'!UN18</f>
        <v>0</v>
      </c>
      <c r="CV17" s="104">
        <f>'Проверочная  таблица'!UI18</f>
        <v>0</v>
      </c>
      <c r="CW17" s="101">
        <f>'Проверочная  таблица'!UM18</f>
        <v>0</v>
      </c>
      <c r="CY17" s="937">
        <f t="shared" si="8"/>
        <v>11758.30508</v>
      </c>
      <c r="CZ17" s="937">
        <f t="shared" si="9"/>
        <v>7115.9031799999993</v>
      </c>
    </row>
    <row r="18" spans="1:104" ht="25.5" customHeight="1" x14ac:dyDescent="0.25">
      <c r="A18" s="102" t="s">
        <v>86</v>
      </c>
      <c r="B18" s="103">
        <f t="shared" si="0"/>
        <v>44684397.890000001</v>
      </c>
      <c r="C18" s="103">
        <f t="shared" si="1"/>
        <v>27463049.109999999</v>
      </c>
      <c r="D18" s="278">
        <f t="shared" si="2"/>
        <v>19547453.699999999</v>
      </c>
      <c r="E18" s="278">
        <f t="shared" si="3"/>
        <v>11399216.449999999</v>
      </c>
      <c r="F18" s="101">
        <f>'Проверочная  таблица'!CS19+'Проверочная  таблица'!CU19</f>
        <v>0</v>
      </c>
      <c r="G18" s="101">
        <f>'Проверочная  таблица'!CT19+'Проверочная  таблица'!CV19</f>
        <v>0</v>
      </c>
      <c r="H18" s="103">
        <f>'Проверочная  таблица'!DL19</f>
        <v>0</v>
      </c>
      <c r="I18" s="101">
        <f>'Проверочная  таблица'!DP19</f>
        <v>0</v>
      </c>
      <c r="J18" s="104">
        <f>'Проверочная  таблица'!DT19</f>
        <v>0</v>
      </c>
      <c r="K18" s="101">
        <f>'Проверочная  таблица'!EA19</f>
        <v>0</v>
      </c>
      <c r="L18" s="104">
        <f>'Проверочная  таблица'!DV19</f>
        <v>0</v>
      </c>
      <c r="M18" s="103">
        <f>'Проверочная  таблица'!EC19</f>
        <v>0</v>
      </c>
      <c r="N18" s="101">
        <f>'Проверочная  таблица'!EG19</f>
        <v>0</v>
      </c>
      <c r="O18" s="103">
        <f>'Проверочная  таблица'!EJ19</f>
        <v>0</v>
      </c>
      <c r="P18" s="103">
        <f>'Проверочная  таблица'!EM19</f>
        <v>0</v>
      </c>
      <c r="Q18" s="103">
        <f>'Проверочная  таблица'!ET19</f>
        <v>0</v>
      </c>
      <c r="R18" s="103">
        <f>'Проверочная  таблица'!EO19</f>
        <v>0</v>
      </c>
      <c r="S18" s="103">
        <f>'Проверочная  таблица'!EV19</f>
        <v>0</v>
      </c>
      <c r="T18" s="103">
        <f>'Проверочная  таблица'!EQ19</f>
        <v>0</v>
      </c>
      <c r="U18" s="101">
        <f>'Проверочная  таблица'!EX19</f>
        <v>0</v>
      </c>
      <c r="V18" s="104">
        <f>'Проверочная  таблица'!FA19</f>
        <v>0</v>
      </c>
      <c r="W18" s="101">
        <f>'Проверочная  таблица'!FD19</f>
        <v>0</v>
      </c>
      <c r="X18" s="104">
        <f>'Проверочная  таблица'!FG19</f>
        <v>0</v>
      </c>
      <c r="Y18" s="101">
        <f>'Проверочная  таблица'!FJ19</f>
        <v>0</v>
      </c>
      <c r="Z18" s="104">
        <f>'Проверочная  таблица'!FM19</f>
        <v>0</v>
      </c>
      <c r="AA18" s="103">
        <f>'Проверочная  таблица'!FP19</f>
        <v>0</v>
      </c>
      <c r="AB18" s="103">
        <f>'Проверочная  таблица'!FS19+'Проверочная  таблица'!FY19</f>
        <v>0</v>
      </c>
      <c r="AC18" s="103">
        <f>'Проверочная  таблица'!FV19+'Проверочная  таблица'!GB19</f>
        <v>0</v>
      </c>
      <c r="AD18" s="103">
        <f>'Проверочная  таблица'!GI19</f>
        <v>0</v>
      </c>
      <c r="AE18" s="103">
        <f>'Проверочная  таблица'!GL19</f>
        <v>0</v>
      </c>
      <c r="AF18" s="103">
        <f>'Проверочная  таблица'!MK19</f>
        <v>0</v>
      </c>
      <c r="AG18" s="101">
        <f>'Проверочная  таблица'!MP19</f>
        <v>0</v>
      </c>
      <c r="AH18" s="104">
        <f>'Проверочная  таблица'!GO19+'Проверочная  таблица'!GU19</f>
        <v>158118.89000000001</v>
      </c>
      <c r="AI18" s="103">
        <f>'Проверочная  таблица'!GR19+'Проверочная  таблица'!GX19</f>
        <v>158118.89000000001</v>
      </c>
      <c r="AJ18" s="103">
        <f>'Проверочная  таблица'!HM19</f>
        <v>0</v>
      </c>
      <c r="AK18" s="101">
        <f>'Проверочная  таблица'!HP19</f>
        <v>0</v>
      </c>
      <c r="AL18" s="104">
        <f>'Проверочная  таблица'!HS19+'Проверочная  таблица'!HY19</f>
        <v>1818047.4499999997</v>
      </c>
      <c r="AM18" s="103">
        <f>'Проверочная  таблица'!HV19+'Проверочная  таблица'!IB19</f>
        <v>1818047.4500000002</v>
      </c>
      <c r="AN18" s="103">
        <f>'Проверочная  таблица'!IU19+'Проверочная  таблица'!JO19</f>
        <v>0</v>
      </c>
      <c r="AO18" s="103">
        <f>'Проверочная  таблица'!JT19+'Проверочная  таблица'!JE19</f>
        <v>0</v>
      </c>
      <c r="AP18" s="103">
        <f>'Проверочная  таблица'!IY19</f>
        <v>0</v>
      </c>
      <c r="AQ18" s="103">
        <f>'Проверочная  таблица'!JI19</f>
        <v>0</v>
      </c>
      <c r="AR18" s="103">
        <f>'Проверочная  таблица'!IW19</f>
        <v>0</v>
      </c>
      <c r="AS18" s="101">
        <f>'Проверочная  таблица'!JG19</f>
        <v>0</v>
      </c>
      <c r="AT18" s="103">
        <f>'Проверочная  таблица'!IS19+'Проверочная  таблица'!JM19</f>
        <v>0</v>
      </c>
      <c r="AU18" s="101">
        <f>'Проверочная  таблица'!JC19+'Проверочная  таблица'!JR19</f>
        <v>0</v>
      </c>
      <c r="AV18" s="104">
        <f>'Проверочная  таблица'!KQ19</f>
        <v>0</v>
      </c>
      <c r="AW18" s="103">
        <f>'Проверочная  таблица'!KU19</f>
        <v>0</v>
      </c>
      <c r="AX18" s="103">
        <f>'Проверочная  таблица'!LC19+'Проверочная  таблица'!LK19</f>
        <v>16530000</v>
      </c>
      <c r="AY18" s="101">
        <f>'Проверочная  таблица'!LG19+'Проверочная  таблица'!LO19</f>
        <v>9423050.1099999994</v>
      </c>
      <c r="AZ18" s="103">
        <f>'Проверочная  таблица'!MI19</f>
        <v>1041287.3599999999</v>
      </c>
      <c r="BA18" s="101">
        <f>'Проверочная  таблица'!MN19</f>
        <v>0</v>
      </c>
      <c r="BB18" s="100">
        <f>'Проверочная  таблица'!NM19</f>
        <v>0</v>
      </c>
      <c r="BC18" s="101">
        <f>'Проверочная  таблица'!NP19</f>
        <v>0</v>
      </c>
      <c r="BD18" s="103">
        <f>'Проверочная  таблица'!OG19</f>
        <v>0</v>
      </c>
      <c r="BE18" s="101">
        <f>'Проверочная  таблица'!ON19</f>
        <v>0</v>
      </c>
      <c r="BF18" s="103">
        <f>'Проверочная  таблица'!NS19+'Проверочная  таблица'!OI19</f>
        <v>0</v>
      </c>
      <c r="BG18" s="103">
        <f>'Проверочная  таблица'!NZ19+'Проверочная  таблица'!OP19</f>
        <v>0</v>
      </c>
      <c r="BH18" s="103">
        <f>'Проверочная  таблица'!NU19</f>
        <v>0</v>
      </c>
      <c r="BI18" s="101">
        <f>'Проверочная  таблица'!OB19</f>
        <v>0</v>
      </c>
      <c r="BJ18" s="104">
        <f>'Проверочная  таблица'!OK19+'Проверочная  таблица'!NW19</f>
        <v>0</v>
      </c>
      <c r="BK18" s="103">
        <f>'Проверочная  таблица'!OR19+'Проверочная  таблица'!OD19</f>
        <v>0</v>
      </c>
      <c r="BL18" s="103">
        <f>'Проверочная  таблица'!PW19+'Проверочная  таблица'!QC19</f>
        <v>0</v>
      </c>
      <c r="BM18" s="101">
        <f>'Проверочная  таблица'!PZ19+'Проверочная  таблица'!QF19</f>
        <v>0</v>
      </c>
      <c r="BN18" s="104">
        <f t="shared" si="4"/>
        <v>12715864.189999999</v>
      </c>
      <c r="BO18" s="101">
        <f t="shared" si="5"/>
        <v>6199783.4499999993</v>
      </c>
      <c r="BP18" s="104">
        <f>'Проверочная  таблица'!RM19</f>
        <v>1930500</v>
      </c>
      <c r="BQ18" s="101">
        <f>'Проверочная  таблица'!RN19</f>
        <v>1270961.5099999998</v>
      </c>
      <c r="BR18" s="100">
        <f>'Проверочная  таблица'!RO19</f>
        <v>3200</v>
      </c>
      <c r="BS18" s="100">
        <f>'Проверочная  таблица'!RP19</f>
        <v>3200</v>
      </c>
      <c r="BT18" s="280">
        <f>'Проверочная  таблица'!RQ19</f>
        <v>0</v>
      </c>
      <c r="BU18" s="170">
        <f>'Проверочная  таблица'!RR19</f>
        <v>0</v>
      </c>
      <c r="BV18" s="172">
        <f>'Проверочная  таблица'!RS19</f>
        <v>746227</v>
      </c>
      <c r="BW18" s="170">
        <f>'Проверочная  таблица'!RT19</f>
        <v>0</v>
      </c>
      <c r="BX18" s="172">
        <f>'Проверочная  таблица'!RU19</f>
        <v>0</v>
      </c>
      <c r="BY18" s="280">
        <f>'Проверочная  таблица'!RV19</f>
        <v>0</v>
      </c>
      <c r="BZ18" s="103">
        <f>'Проверочная  таблица'!RY19</f>
        <v>7970825.7000000002</v>
      </c>
      <c r="CA18" s="103">
        <f>'Проверочная  таблица'!SB19</f>
        <v>3785337.06</v>
      </c>
      <c r="CB18" s="103">
        <f>'Проверочная  таблица'!SC19</f>
        <v>515111.49</v>
      </c>
      <c r="CC18" s="101">
        <f>'Проверочная  таблица'!SD19</f>
        <v>0</v>
      </c>
      <c r="CD18" s="104">
        <f>'Проверочная  таблица'!SG19</f>
        <v>1550000</v>
      </c>
      <c r="CE18" s="103">
        <f>'Проверочная  таблица'!SJ19</f>
        <v>1140284.8799999999</v>
      </c>
      <c r="CF18" s="103">
        <f t="shared" si="6"/>
        <v>12421080</v>
      </c>
      <c r="CG18" s="101">
        <f t="shared" si="7"/>
        <v>9864049.209999999</v>
      </c>
      <c r="CH18" s="104">
        <f>'Проверочная  таблица'!SO19</f>
        <v>12421080</v>
      </c>
      <c r="CI18" s="103">
        <f>'Проверочная  таблица'!SR19</f>
        <v>9864049.209999999</v>
      </c>
      <c r="CJ18" s="103">
        <f>'Проверочная  таблица'!ST19</f>
        <v>0</v>
      </c>
      <c r="CK18" s="103">
        <f>'Проверочная  таблица'!SW19</f>
        <v>0</v>
      </c>
      <c r="CL18" s="103">
        <f>'Проверочная  таблица'!SU19</f>
        <v>0</v>
      </c>
      <c r="CM18" s="101">
        <f>'Проверочная  таблица'!SX19</f>
        <v>0</v>
      </c>
      <c r="CN18" s="104">
        <f>'Проверочная  таблица'!SZ19+'Проверочная  таблица'!TD19</f>
        <v>0</v>
      </c>
      <c r="CO18" s="103">
        <f>'Проверочная  таблица'!TB19+'Проверочная  таблица'!TF19</f>
        <v>0</v>
      </c>
      <c r="CP18" s="103">
        <f>'Проверочная  таблица'!TM19+'Проверочная  таблица'!TS19</f>
        <v>0</v>
      </c>
      <c r="CQ18" s="101">
        <f>'Проверочная  таблица'!TP19+'Проверочная  таблица'!TV19</f>
        <v>0</v>
      </c>
      <c r="CR18" s="103">
        <f>'Проверочная  таблица'!UC19</f>
        <v>0</v>
      </c>
      <c r="CS18" s="103">
        <f>'Проверочная  таблица'!UF19</f>
        <v>0</v>
      </c>
      <c r="CT18" s="103">
        <f>'Проверочная  таблица'!UJ19</f>
        <v>0</v>
      </c>
      <c r="CU18" s="101">
        <f>'Проверочная  таблица'!UN19</f>
        <v>0</v>
      </c>
      <c r="CV18" s="104">
        <f>'Проверочная  таблица'!UI19</f>
        <v>0</v>
      </c>
      <c r="CW18" s="101">
        <f>'Проверочная  таблица'!UM19</f>
        <v>0</v>
      </c>
      <c r="CY18" s="937">
        <f t="shared" si="8"/>
        <v>10785.36419</v>
      </c>
      <c r="CZ18" s="937">
        <f t="shared" si="9"/>
        <v>4928.8219399999998</v>
      </c>
    </row>
    <row r="19" spans="1:104" ht="25.5" customHeight="1" x14ac:dyDescent="0.25">
      <c r="A19" s="105" t="s">
        <v>87</v>
      </c>
      <c r="B19" s="103">
        <f t="shared" si="0"/>
        <v>62273615.619999997</v>
      </c>
      <c r="C19" s="103">
        <f t="shared" si="1"/>
        <v>56714570.780000001</v>
      </c>
      <c r="D19" s="278">
        <f t="shared" si="2"/>
        <v>46242882.359999999</v>
      </c>
      <c r="E19" s="278">
        <f t="shared" si="3"/>
        <v>45068644.439999998</v>
      </c>
      <c r="F19" s="101">
        <f>'Проверочная  таблица'!CS20+'Проверочная  таблица'!CU20</f>
        <v>0</v>
      </c>
      <c r="G19" s="101">
        <f>'Проверочная  таблица'!CT20+'Проверочная  таблица'!CV20</f>
        <v>0</v>
      </c>
      <c r="H19" s="103">
        <f>'Проверочная  таблица'!DL20</f>
        <v>0</v>
      </c>
      <c r="I19" s="101">
        <f>'Проверочная  таблица'!DP20</f>
        <v>0</v>
      </c>
      <c r="J19" s="104">
        <f>'Проверочная  таблица'!DT20</f>
        <v>0</v>
      </c>
      <c r="K19" s="101">
        <f>'Проверочная  таблица'!EA20</f>
        <v>0</v>
      </c>
      <c r="L19" s="104">
        <f>'Проверочная  таблица'!DV20</f>
        <v>0</v>
      </c>
      <c r="M19" s="103">
        <f>'Проверочная  таблица'!EC20</f>
        <v>0</v>
      </c>
      <c r="N19" s="101">
        <f>'Проверочная  таблица'!EG20</f>
        <v>0</v>
      </c>
      <c r="O19" s="103">
        <f>'Проверочная  таблица'!EJ20</f>
        <v>0</v>
      </c>
      <c r="P19" s="103">
        <f>'Проверочная  таблица'!EM20</f>
        <v>0</v>
      </c>
      <c r="Q19" s="103">
        <f>'Проверочная  таблица'!ET20</f>
        <v>0</v>
      </c>
      <c r="R19" s="103">
        <f>'Проверочная  таблица'!EO20</f>
        <v>0</v>
      </c>
      <c r="S19" s="103">
        <f>'Проверочная  таблица'!EV20</f>
        <v>0</v>
      </c>
      <c r="T19" s="103">
        <f>'Проверочная  таблица'!EQ20</f>
        <v>0</v>
      </c>
      <c r="U19" s="101">
        <f>'Проверочная  таблица'!EX20</f>
        <v>0</v>
      </c>
      <c r="V19" s="104">
        <f>'Проверочная  таблица'!FA20</f>
        <v>0</v>
      </c>
      <c r="W19" s="101">
        <f>'Проверочная  таблица'!FD20</f>
        <v>0</v>
      </c>
      <c r="X19" s="104">
        <f>'Проверочная  таблица'!FG20</f>
        <v>44645700</v>
      </c>
      <c r="Y19" s="101">
        <f>'Проверочная  таблица'!FJ20</f>
        <v>44645700</v>
      </c>
      <c r="Z19" s="104">
        <f>'Проверочная  таблица'!FM20</f>
        <v>0</v>
      </c>
      <c r="AA19" s="103">
        <f>'Проверочная  таблица'!FP20</f>
        <v>0</v>
      </c>
      <c r="AB19" s="103">
        <f>'Проверочная  таблица'!FS20+'Проверочная  таблица'!FY20</f>
        <v>0</v>
      </c>
      <c r="AC19" s="103">
        <f>'Проверочная  таблица'!FV20+'Проверочная  таблица'!GB20</f>
        <v>0</v>
      </c>
      <c r="AD19" s="103">
        <f>'Проверочная  таблица'!GI20</f>
        <v>0</v>
      </c>
      <c r="AE19" s="103">
        <f>'Проверочная  таблица'!GL20</f>
        <v>0</v>
      </c>
      <c r="AF19" s="103">
        <f>'Проверочная  таблица'!MK20</f>
        <v>0</v>
      </c>
      <c r="AG19" s="101">
        <f>'Проверочная  таблица'!MP20</f>
        <v>0</v>
      </c>
      <c r="AH19" s="104">
        <f>'Проверочная  таблица'!GO20+'Проверочная  таблица'!GU20</f>
        <v>133546.75</v>
      </c>
      <c r="AI19" s="103">
        <f>'Проверочная  таблица'!GR20+'Проверочная  таблица'!GX20</f>
        <v>133546.75</v>
      </c>
      <c r="AJ19" s="103">
        <f>'Проверочная  таблица'!HM20</f>
        <v>0</v>
      </c>
      <c r="AK19" s="101">
        <f>'Проверочная  таблица'!HP20</f>
        <v>0</v>
      </c>
      <c r="AL19" s="104">
        <f>'Проверочная  таблица'!HS20+'Проверочная  таблица'!HY20</f>
        <v>289397.69</v>
      </c>
      <c r="AM19" s="103">
        <f>'Проверочная  таблица'!HV20+'Проверочная  таблица'!IB20</f>
        <v>289397.69</v>
      </c>
      <c r="AN19" s="103">
        <f>'Проверочная  таблица'!IU20+'Проверочная  таблица'!JO20</f>
        <v>0</v>
      </c>
      <c r="AO19" s="103">
        <f>'Проверочная  таблица'!JT20+'Проверочная  таблица'!JE20</f>
        <v>0</v>
      </c>
      <c r="AP19" s="103">
        <f>'Проверочная  таблица'!IY20</f>
        <v>0</v>
      </c>
      <c r="AQ19" s="103">
        <f>'Проверочная  таблица'!JI20</f>
        <v>0</v>
      </c>
      <c r="AR19" s="103">
        <f>'Проверочная  таблица'!IW20</f>
        <v>0</v>
      </c>
      <c r="AS19" s="101">
        <f>'Проверочная  таблица'!JG20</f>
        <v>0</v>
      </c>
      <c r="AT19" s="103">
        <f>'Проверочная  таблица'!IS20+'Проверочная  таблица'!JM20</f>
        <v>0</v>
      </c>
      <c r="AU19" s="101">
        <f>'Проверочная  таблица'!JC20+'Проверочная  таблица'!JR20</f>
        <v>0</v>
      </c>
      <c r="AV19" s="104">
        <f>'Проверочная  таблица'!KQ20</f>
        <v>0</v>
      </c>
      <c r="AW19" s="103">
        <f>'Проверочная  таблица'!KU20</f>
        <v>0</v>
      </c>
      <c r="AX19" s="103">
        <f>'Проверочная  таблица'!LC20+'Проверочная  таблица'!LK20</f>
        <v>0</v>
      </c>
      <c r="AY19" s="101">
        <f>'Проверочная  таблица'!LG20+'Проверочная  таблица'!LO20</f>
        <v>0</v>
      </c>
      <c r="AZ19" s="103">
        <f>'Проверочная  таблица'!MI20</f>
        <v>1174237.92</v>
      </c>
      <c r="BA19" s="101">
        <f>'Проверочная  таблица'!MN20</f>
        <v>0</v>
      </c>
      <c r="BB19" s="100">
        <f>'Проверочная  таблица'!NM20</f>
        <v>0</v>
      </c>
      <c r="BC19" s="101">
        <f>'Проверочная  таблица'!NP20</f>
        <v>0</v>
      </c>
      <c r="BD19" s="103">
        <f>'Проверочная  таблица'!OG20</f>
        <v>0</v>
      </c>
      <c r="BE19" s="101">
        <f>'Проверочная  таблица'!ON20</f>
        <v>0</v>
      </c>
      <c r="BF19" s="103">
        <f>'Проверочная  таблица'!NS20+'Проверочная  таблица'!OI20</f>
        <v>0</v>
      </c>
      <c r="BG19" s="103">
        <f>'Проверочная  таблица'!NZ20+'Проверочная  таблица'!OP20</f>
        <v>0</v>
      </c>
      <c r="BH19" s="103">
        <f>'Проверочная  таблица'!NU20</f>
        <v>0</v>
      </c>
      <c r="BI19" s="101">
        <f>'Проверочная  таблица'!OB20</f>
        <v>0</v>
      </c>
      <c r="BJ19" s="104">
        <f>'Проверочная  таблица'!OK20+'Проверочная  таблица'!NW20</f>
        <v>0</v>
      </c>
      <c r="BK19" s="103">
        <f>'Проверочная  таблица'!OR20+'Проверочная  таблица'!OD20</f>
        <v>0</v>
      </c>
      <c r="BL19" s="103">
        <f>'Проверочная  таблица'!PW20+'Проверочная  таблица'!QC20</f>
        <v>0</v>
      </c>
      <c r="BM19" s="101">
        <f>'Проверочная  таблица'!PZ20+'Проверочная  таблица'!QF20</f>
        <v>0</v>
      </c>
      <c r="BN19" s="104">
        <f t="shared" si="4"/>
        <v>6968813.2600000007</v>
      </c>
      <c r="BO19" s="101">
        <f t="shared" si="5"/>
        <v>4296766.34</v>
      </c>
      <c r="BP19" s="104">
        <f>'Проверочная  таблица'!RM20</f>
        <v>1352700</v>
      </c>
      <c r="BQ19" s="101">
        <f>'Проверочная  таблица'!RN20</f>
        <v>833320.15</v>
      </c>
      <c r="BR19" s="100">
        <f>'Проверочная  таблица'!RO20</f>
        <v>1000</v>
      </c>
      <c r="BS19" s="100">
        <f>'Проверочная  таблица'!RP20</f>
        <v>0</v>
      </c>
      <c r="BT19" s="280">
        <f>'Проверочная  таблица'!RQ20</f>
        <v>0</v>
      </c>
      <c r="BU19" s="170">
        <f>'Проверочная  таблица'!RR20</f>
        <v>0</v>
      </c>
      <c r="BV19" s="172">
        <f>'Проверочная  таблица'!RS20</f>
        <v>0</v>
      </c>
      <c r="BW19" s="170">
        <f>'Проверочная  таблица'!RT20</f>
        <v>0</v>
      </c>
      <c r="BX19" s="172">
        <f>'Проверочная  таблица'!RU20</f>
        <v>749538</v>
      </c>
      <c r="BY19" s="280">
        <f>'Проверочная  таблица'!RV20</f>
        <v>703926</v>
      </c>
      <c r="BZ19" s="103">
        <f>'Проверочная  таблица'!RY20</f>
        <v>3711998.73</v>
      </c>
      <c r="CA19" s="103">
        <f>'Проверочная  таблица'!SB20</f>
        <v>2079999.7</v>
      </c>
      <c r="CB19" s="103">
        <f>'Проверочная  таблица'!SC20</f>
        <v>263576.52999999997</v>
      </c>
      <c r="CC19" s="101">
        <f>'Проверочная  таблица'!SD20</f>
        <v>0</v>
      </c>
      <c r="CD19" s="104">
        <f>'Проверочная  таблица'!SG20</f>
        <v>890000</v>
      </c>
      <c r="CE19" s="103">
        <f>'Проверочная  таблица'!SJ20</f>
        <v>679520.49</v>
      </c>
      <c r="CF19" s="103">
        <f t="shared" si="6"/>
        <v>9061920</v>
      </c>
      <c r="CG19" s="101">
        <f t="shared" si="7"/>
        <v>7349160</v>
      </c>
      <c r="CH19" s="104">
        <f>'Проверочная  таблица'!SO20</f>
        <v>9061920</v>
      </c>
      <c r="CI19" s="103">
        <f>'Проверочная  таблица'!SR20</f>
        <v>7349160</v>
      </c>
      <c r="CJ19" s="103">
        <f>'Проверочная  таблица'!ST20</f>
        <v>0</v>
      </c>
      <c r="CK19" s="103">
        <f>'Проверочная  таблица'!SW20</f>
        <v>0</v>
      </c>
      <c r="CL19" s="103">
        <f>'Проверочная  таблица'!SU20</f>
        <v>0</v>
      </c>
      <c r="CM19" s="101">
        <f>'Проверочная  таблица'!SX20</f>
        <v>0</v>
      </c>
      <c r="CN19" s="104">
        <f>'Проверочная  таблица'!SZ20+'Проверочная  таблица'!TD20</f>
        <v>0</v>
      </c>
      <c r="CO19" s="103">
        <f>'Проверочная  таблица'!TB20+'Проверочная  таблица'!TF20</f>
        <v>0</v>
      </c>
      <c r="CP19" s="103">
        <f>'Проверочная  таблица'!TM20+'Проверочная  таблица'!TS20</f>
        <v>0</v>
      </c>
      <c r="CQ19" s="101">
        <f>'Проверочная  таблица'!TP20+'Проверочная  таблица'!TV20</f>
        <v>0</v>
      </c>
      <c r="CR19" s="103">
        <f>'Проверочная  таблица'!UC20</f>
        <v>0</v>
      </c>
      <c r="CS19" s="103">
        <f>'Проверочная  таблица'!UF20</f>
        <v>0</v>
      </c>
      <c r="CT19" s="103">
        <f>'Проверочная  таблица'!UJ20</f>
        <v>0</v>
      </c>
      <c r="CU19" s="101">
        <f>'Проверочная  таблица'!UN20</f>
        <v>0</v>
      </c>
      <c r="CV19" s="104">
        <f>'Проверочная  таблица'!UI20</f>
        <v>0</v>
      </c>
      <c r="CW19" s="101">
        <f>'Проверочная  таблица'!UM20</f>
        <v>0</v>
      </c>
      <c r="CY19" s="937">
        <f t="shared" si="8"/>
        <v>5616.113260000001</v>
      </c>
      <c r="CZ19" s="937">
        <f t="shared" si="9"/>
        <v>3463.4461900000001</v>
      </c>
    </row>
    <row r="20" spans="1:104" ht="25.5" customHeight="1" x14ac:dyDescent="0.25">
      <c r="A20" s="102" t="s">
        <v>88</v>
      </c>
      <c r="B20" s="103">
        <f t="shared" si="0"/>
        <v>35677094.780000001</v>
      </c>
      <c r="C20" s="103">
        <f t="shared" si="1"/>
        <v>18411559.5</v>
      </c>
      <c r="D20" s="278">
        <f t="shared" si="2"/>
        <v>23728471.07</v>
      </c>
      <c r="E20" s="278">
        <f t="shared" si="3"/>
        <v>11481871.449999999</v>
      </c>
      <c r="F20" s="101">
        <f>'Проверочная  таблица'!CS21+'Проверочная  таблица'!CU21</f>
        <v>0</v>
      </c>
      <c r="G20" s="101">
        <f>'Проверочная  таблица'!CT21+'Проверочная  таблица'!CV21</f>
        <v>0</v>
      </c>
      <c r="H20" s="103">
        <f>'Проверочная  таблица'!DL21</f>
        <v>0</v>
      </c>
      <c r="I20" s="101">
        <f>'Проверочная  таблица'!DP21</f>
        <v>0</v>
      </c>
      <c r="J20" s="104">
        <f>'Проверочная  таблица'!DT21</f>
        <v>0</v>
      </c>
      <c r="K20" s="101">
        <f>'Проверочная  таблица'!EA21</f>
        <v>0</v>
      </c>
      <c r="L20" s="104">
        <f>'Проверочная  таблица'!DV21</f>
        <v>0</v>
      </c>
      <c r="M20" s="103">
        <f>'Проверочная  таблица'!EC21</f>
        <v>0</v>
      </c>
      <c r="N20" s="101">
        <f>'Проверочная  таблица'!EG21</f>
        <v>0</v>
      </c>
      <c r="O20" s="103">
        <f>'Проверочная  таблица'!EJ21</f>
        <v>0</v>
      </c>
      <c r="P20" s="103">
        <f>'Проверочная  таблица'!EM21</f>
        <v>0</v>
      </c>
      <c r="Q20" s="103">
        <f>'Проверочная  таблица'!ET21</f>
        <v>0</v>
      </c>
      <c r="R20" s="103">
        <f>'Проверочная  таблица'!EO21</f>
        <v>0</v>
      </c>
      <c r="S20" s="103">
        <f>'Проверочная  таблица'!EV21</f>
        <v>0</v>
      </c>
      <c r="T20" s="103">
        <f>'Проверочная  таблица'!EQ21</f>
        <v>0</v>
      </c>
      <c r="U20" s="101">
        <f>'Проверочная  таблица'!EX21</f>
        <v>0</v>
      </c>
      <c r="V20" s="104">
        <f>'Проверочная  таблица'!FA21</f>
        <v>0</v>
      </c>
      <c r="W20" s="101">
        <f>'Проверочная  таблица'!FD21</f>
        <v>0</v>
      </c>
      <c r="X20" s="104">
        <f>'Проверочная  таблица'!FG21</f>
        <v>0</v>
      </c>
      <c r="Y20" s="101">
        <f>'Проверочная  таблица'!FJ21</f>
        <v>0</v>
      </c>
      <c r="Z20" s="104">
        <f>'Проверочная  таблица'!FM21</f>
        <v>0</v>
      </c>
      <c r="AA20" s="103">
        <f>'Проверочная  таблица'!FP21</f>
        <v>0</v>
      </c>
      <c r="AB20" s="103">
        <f>'Проверочная  таблица'!FS21+'Проверочная  таблица'!FY21</f>
        <v>0</v>
      </c>
      <c r="AC20" s="103">
        <f>'Проверочная  таблица'!FV21+'Проверочная  таблица'!GB21</f>
        <v>0</v>
      </c>
      <c r="AD20" s="103">
        <f>'Проверочная  таблица'!GI21</f>
        <v>0</v>
      </c>
      <c r="AE20" s="103">
        <f>'Проверочная  таблица'!GL21</f>
        <v>0</v>
      </c>
      <c r="AF20" s="103">
        <f>'Проверочная  таблица'!MK21</f>
        <v>0</v>
      </c>
      <c r="AG20" s="101">
        <f>'Проверочная  таблица'!MP21</f>
        <v>0</v>
      </c>
      <c r="AH20" s="104">
        <f>'Проверочная  таблица'!GO21+'Проверочная  таблица'!GU21</f>
        <v>202547.25</v>
      </c>
      <c r="AI20" s="103">
        <f>'Проверочная  таблица'!GR21+'Проверочная  таблица'!GX21</f>
        <v>0</v>
      </c>
      <c r="AJ20" s="103">
        <f>'Проверочная  таблица'!HM21</f>
        <v>0</v>
      </c>
      <c r="AK20" s="101">
        <f>'Проверочная  таблица'!HP21</f>
        <v>0</v>
      </c>
      <c r="AL20" s="104">
        <f>'Проверочная  таблица'!HS21+'Проверочная  таблица'!HY21</f>
        <v>414158.46</v>
      </c>
      <c r="AM20" s="103">
        <f>'Проверочная  таблица'!HV21+'Проверочная  таблица'!IB21</f>
        <v>414158.46</v>
      </c>
      <c r="AN20" s="103">
        <f>'Проверочная  таблица'!IU21+'Проверочная  таблица'!JO21</f>
        <v>0</v>
      </c>
      <c r="AO20" s="103">
        <f>'Проверочная  таблица'!JT21+'Проверочная  таблица'!JE21</f>
        <v>0</v>
      </c>
      <c r="AP20" s="103">
        <f>'Проверочная  таблица'!IY21</f>
        <v>5000387.37</v>
      </c>
      <c r="AQ20" s="103">
        <f>'Проверочная  таблица'!JI21</f>
        <v>4908498.1500000004</v>
      </c>
      <c r="AR20" s="103">
        <f>'Проверочная  таблица'!IW21</f>
        <v>17389468.800000001</v>
      </c>
      <c r="AS20" s="101">
        <f>'Проверочная  таблица'!JG21</f>
        <v>5445268.3300000001</v>
      </c>
      <c r="AT20" s="103">
        <f>'Проверочная  таблица'!IS21+'Проверочная  таблица'!JM21</f>
        <v>0</v>
      </c>
      <c r="AU20" s="101">
        <f>'Проверочная  таблица'!JC21+'Проверочная  таблица'!JR21</f>
        <v>0</v>
      </c>
      <c r="AV20" s="104">
        <f>'Проверочная  таблица'!KQ21</f>
        <v>0</v>
      </c>
      <c r="AW20" s="103">
        <f>'Проверочная  таблица'!KU21</f>
        <v>0</v>
      </c>
      <c r="AX20" s="103">
        <f>'Проверочная  таблица'!LC21+'Проверочная  таблица'!LK21</f>
        <v>0</v>
      </c>
      <c r="AY20" s="101">
        <f>'Проверочная  таблица'!LG21+'Проверочная  таблица'!LO21</f>
        <v>0</v>
      </c>
      <c r="AZ20" s="103">
        <f>'Проверочная  таблица'!MI21</f>
        <v>721909.19</v>
      </c>
      <c r="BA20" s="101">
        <f>'Проверочная  таблица'!MN21</f>
        <v>713946.51</v>
      </c>
      <c r="BB20" s="100">
        <f>'Проверочная  таблица'!NM21</f>
        <v>0</v>
      </c>
      <c r="BC20" s="101">
        <f>'Проверочная  таблица'!NP21</f>
        <v>0</v>
      </c>
      <c r="BD20" s="103">
        <f>'Проверочная  таблица'!OG21</f>
        <v>0</v>
      </c>
      <c r="BE20" s="101">
        <f>'Проверочная  таблица'!ON21</f>
        <v>0</v>
      </c>
      <c r="BF20" s="103">
        <f>'Проверочная  таблица'!NS21+'Проверочная  таблица'!OI21</f>
        <v>0</v>
      </c>
      <c r="BG20" s="103">
        <f>'Проверочная  таблица'!NZ21+'Проверочная  таблица'!OP21</f>
        <v>0</v>
      </c>
      <c r="BH20" s="103">
        <f>'Проверочная  таблица'!NU21</f>
        <v>0</v>
      </c>
      <c r="BI20" s="101">
        <f>'Проверочная  таблица'!OB21</f>
        <v>0</v>
      </c>
      <c r="BJ20" s="104">
        <f>'Проверочная  таблица'!OK21+'Проверочная  таблица'!NW21</f>
        <v>0</v>
      </c>
      <c r="BK20" s="103">
        <f>'Проверочная  таблица'!OR21+'Проверочная  таблица'!OD21</f>
        <v>0</v>
      </c>
      <c r="BL20" s="103">
        <f>'Проверочная  таблица'!PW21+'Проверочная  таблица'!QC21</f>
        <v>0</v>
      </c>
      <c r="BM20" s="101">
        <f>'Проверочная  таблица'!PZ21+'Проверочная  таблица'!QF21</f>
        <v>0</v>
      </c>
      <c r="BN20" s="104">
        <f t="shared" si="4"/>
        <v>5620903.71</v>
      </c>
      <c r="BO20" s="101">
        <f t="shared" si="5"/>
        <v>2767748.94</v>
      </c>
      <c r="BP20" s="104">
        <f>'Проверочная  таблица'!RM21</f>
        <v>747800</v>
      </c>
      <c r="BQ20" s="101">
        <f>'Проверочная  таблица'!RN21</f>
        <v>514873.15</v>
      </c>
      <c r="BR20" s="100">
        <f>'Проверочная  таблица'!RO21</f>
        <v>0</v>
      </c>
      <c r="BS20" s="100">
        <f>'Проверочная  таблица'!RP21</f>
        <v>0</v>
      </c>
      <c r="BT20" s="280">
        <f>'Проверочная  таблица'!RQ21</f>
        <v>0</v>
      </c>
      <c r="BU20" s="170">
        <f>'Проверочная  таблица'!RR21</f>
        <v>0</v>
      </c>
      <c r="BV20" s="172">
        <f>'Проверочная  таблица'!RS21</f>
        <v>0</v>
      </c>
      <c r="BW20" s="170">
        <f>'Проверочная  таблица'!RT21</f>
        <v>0</v>
      </c>
      <c r="BX20" s="172">
        <f>'Проверочная  таблица'!RU21</f>
        <v>0</v>
      </c>
      <c r="BY20" s="280">
        <f>'Проверочная  таблица'!RV21</f>
        <v>0</v>
      </c>
      <c r="BZ20" s="103">
        <f>'Проверочная  таблица'!RY21</f>
        <v>3486834.17</v>
      </c>
      <c r="CA20" s="103">
        <f>'Проверочная  таблица'!SB21</f>
        <v>1433477.93</v>
      </c>
      <c r="CB20" s="103">
        <f>'Проверочная  таблица'!SC21</f>
        <v>213269.54</v>
      </c>
      <c r="CC20" s="101">
        <f>'Проверочная  таблица'!SD21</f>
        <v>0</v>
      </c>
      <c r="CD20" s="104">
        <f>'Проверочная  таблица'!SG21</f>
        <v>1173000</v>
      </c>
      <c r="CE20" s="103">
        <f>'Проверочная  таблица'!SJ21</f>
        <v>819397.86</v>
      </c>
      <c r="CF20" s="103">
        <f t="shared" si="6"/>
        <v>6327720</v>
      </c>
      <c r="CG20" s="101">
        <f t="shared" si="7"/>
        <v>4161939.11</v>
      </c>
      <c r="CH20" s="104">
        <f>'Проверочная  таблица'!SO21</f>
        <v>6327720</v>
      </c>
      <c r="CI20" s="103">
        <f>'Проверочная  таблица'!SR21</f>
        <v>4161939.11</v>
      </c>
      <c r="CJ20" s="103">
        <f>'Проверочная  таблица'!ST21</f>
        <v>0</v>
      </c>
      <c r="CK20" s="103">
        <f>'Проверочная  таблица'!SW21</f>
        <v>0</v>
      </c>
      <c r="CL20" s="103">
        <f>'Проверочная  таблица'!SU21</f>
        <v>0</v>
      </c>
      <c r="CM20" s="101">
        <f>'Проверочная  таблица'!SX21</f>
        <v>0</v>
      </c>
      <c r="CN20" s="104">
        <f>'Проверочная  таблица'!SZ21+'Проверочная  таблица'!TD21</f>
        <v>0</v>
      </c>
      <c r="CO20" s="103">
        <f>'Проверочная  таблица'!TB21+'Проверочная  таблица'!TF21</f>
        <v>0</v>
      </c>
      <c r="CP20" s="103">
        <f>'Проверочная  таблица'!TM21+'Проверочная  таблица'!TS21</f>
        <v>0</v>
      </c>
      <c r="CQ20" s="101">
        <f>'Проверочная  таблица'!TP21+'Проверочная  таблица'!TV21</f>
        <v>0</v>
      </c>
      <c r="CR20" s="103">
        <f>'Проверочная  таблица'!UC21</f>
        <v>0</v>
      </c>
      <c r="CS20" s="103">
        <f>'Проверочная  таблица'!UF21</f>
        <v>0</v>
      </c>
      <c r="CT20" s="103">
        <f>'Проверочная  таблица'!UJ21</f>
        <v>0</v>
      </c>
      <c r="CU20" s="101">
        <f>'Проверочная  таблица'!UN21</f>
        <v>0</v>
      </c>
      <c r="CV20" s="104">
        <f>'Проверочная  таблица'!UI21</f>
        <v>0</v>
      </c>
      <c r="CW20" s="101">
        <f>'Проверочная  таблица'!UM21</f>
        <v>0</v>
      </c>
      <c r="CY20" s="937">
        <f t="shared" si="8"/>
        <v>4873.1037100000003</v>
      </c>
      <c r="CZ20" s="937">
        <f t="shared" si="9"/>
        <v>2252.8757900000001</v>
      </c>
    </row>
    <row r="21" spans="1:104" ht="25.5" customHeight="1" x14ac:dyDescent="0.25">
      <c r="A21" s="105" t="s">
        <v>89</v>
      </c>
      <c r="B21" s="103">
        <f t="shared" si="0"/>
        <v>341270905.68000001</v>
      </c>
      <c r="C21" s="103">
        <f t="shared" si="1"/>
        <v>163582287.94999999</v>
      </c>
      <c r="D21" s="278">
        <f t="shared" si="2"/>
        <v>254953206.28999999</v>
      </c>
      <c r="E21" s="278">
        <f t="shared" si="3"/>
        <v>93940672.459999993</v>
      </c>
      <c r="F21" s="101">
        <f>'Проверочная  таблица'!CS22+'Проверочная  таблица'!CU22</f>
        <v>83669524.5</v>
      </c>
      <c r="G21" s="101">
        <f>'Проверочная  таблица'!CT22+'Проверочная  таблица'!CV22</f>
        <v>65820628.689999998</v>
      </c>
      <c r="H21" s="103">
        <f>'Проверочная  таблица'!DL22</f>
        <v>0</v>
      </c>
      <c r="I21" s="101">
        <f>'Проверочная  таблица'!DP22</f>
        <v>0</v>
      </c>
      <c r="J21" s="104">
        <f>'Проверочная  таблица'!DT22</f>
        <v>0</v>
      </c>
      <c r="K21" s="101">
        <f>'Проверочная  таблица'!EA22</f>
        <v>0</v>
      </c>
      <c r="L21" s="104">
        <f>'Проверочная  таблица'!DV22</f>
        <v>0</v>
      </c>
      <c r="M21" s="103">
        <f>'Проверочная  таблица'!EC22</f>
        <v>0</v>
      </c>
      <c r="N21" s="101">
        <f>'Проверочная  таблица'!EG22</f>
        <v>0</v>
      </c>
      <c r="O21" s="103">
        <f>'Проверочная  таблица'!EJ22</f>
        <v>0</v>
      </c>
      <c r="P21" s="103">
        <f>'Проверочная  таблица'!EM22</f>
        <v>0</v>
      </c>
      <c r="Q21" s="103">
        <f>'Проверочная  таблица'!ET22</f>
        <v>0</v>
      </c>
      <c r="R21" s="103">
        <f>'Проверочная  таблица'!EO22</f>
        <v>0</v>
      </c>
      <c r="S21" s="103">
        <f>'Проверочная  таблица'!EV22</f>
        <v>0</v>
      </c>
      <c r="T21" s="103">
        <f>'Проверочная  таблица'!EQ22</f>
        <v>0</v>
      </c>
      <c r="U21" s="101">
        <f>'Проверочная  таблица'!EX22</f>
        <v>0</v>
      </c>
      <c r="V21" s="104">
        <f>'Проверочная  таблица'!FA22</f>
        <v>0</v>
      </c>
      <c r="W21" s="101">
        <f>'Проверочная  таблица'!FD22</f>
        <v>0</v>
      </c>
      <c r="X21" s="104">
        <f>'Проверочная  таблица'!FG22</f>
        <v>0</v>
      </c>
      <c r="Y21" s="101">
        <f>'Проверочная  таблица'!FJ22</f>
        <v>0</v>
      </c>
      <c r="Z21" s="104">
        <f>'Проверочная  таблица'!FM22</f>
        <v>0</v>
      </c>
      <c r="AA21" s="103">
        <f>'Проверочная  таблица'!FP22</f>
        <v>0</v>
      </c>
      <c r="AB21" s="103">
        <f>'Проверочная  таблица'!FS22+'Проверочная  таблица'!FY22</f>
        <v>0</v>
      </c>
      <c r="AC21" s="103">
        <f>'Проверочная  таблица'!FV22+'Проверочная  таблица'!GB22</f>
        <v>0</v>
      </c>
      <c r="AD21" s="103">
        <f>'Проверочная  таблица'!GI22</f>
        <v>0</v>
      </c>
      <c r="AE21" s="103">
        <f>'Проверочная  таблица'!GL22</f>
        <v>0</v>
      </c>
      <c r="AF21" s="103">
        <f>'Проверочная  таблица'!MK22</f>
        <v>0</v>
      </c>
      <c r="AG21" s="101">
        <f>'Проверочная  таблица'!MP22</f>
        <v>0</v>
      </c>
      <c r="AH21" s="104">
        <f>'Проверочная  таблица'!GO22+'Проверочная  таблица'!GU22</f>
        <v>202246.57</v>
      </c>
      <c r="AI21" s="103">
        <f>'Проверочная  таблица'!GR22+'Проверочная  таблица'!GX22</f>
        <v>202246.57</v>
      </c>
      <c r="AJ21" s="103">
        <f>'Проверочная  таблица'!HM22</f>
        <v>0</v>
      </c>
      <c r="AK21" s="101">
        <f>'Проверочная  таблица'!HP22</f>
        <v>0</v>
      </c>
      <c r="AL21" s="104">
        <f>'Проверочная  таблица'!HS22+'Проверочная  таблица'!HY22</f>
        <v>1841065.38</v>
      </c>
      <c r="AM21" s="103">
        <f>'Проверочная  таблица'!HV22+'Проверочная  таблица'!IB22</f>
        <v>1044507.1299999999</v>
      </c>
      <c r="AN21" s="103">
        <f>'Проверочная  таблица'!IU22+'Проверочная  таблица'!JO22</f>
        <v>0</v>
      </c>
      <c r="AO21" s="103">
        <f>'Проверочная  таблица'!JT22+'Проверочная  таблица'!JE22</f>
        <v>0</v>
      </c>
      <c r="AP21" s="103">
        <f>'Проверочная  таблица'!IY22</f>
        <v>0</v>
      </c>
      <c r="AQ21" s="103">
        <f>'Проверочная  таблица'!JI22</f>
        <v>0</v>
      </c>
      <c r="AR21" s="103">
        <f>'Проверочная  таблица'!IW22</f>
        <v>0</v>
      </c>
      <c r="AS21" s="101">
        <f>'Проверочная  таблица'!JG22</f>
        <v>0</v>
      </c>
      <c r="AT21" s="103">
        <f>'Проверочная  таблица'!IS22+'Проверочная  таблица'!JM22</f>
        <v>0</v>
      </c>
      <c r="AU21" s="101">
        <f>'Проверочная  таблица'!JC22+'Проверочная  таблица'!JR22</f>
        <v>0</v>
      </c>
      <c r="AV21" s="104">
        <f>'Проверочная  таблица'!KQ22</f>
        <v>0</v>
      </c>
      <c r="AW21" s="103">
        <f>'Проверочная  таблица'!KU22</f>
        <v>0</v>
      </c>
      <c r="AX21" s="103">
        <f>'Проверочная  таблица'!LC22+'Проверочная  таблица'!LK22</f>
        <v>16530000</v>
      </c>
      <c r="AY21" s="101">
        <f>'Проверочная  таблица'!LG22+'Проверочная  таблица'!LO22</f>
        <v>16529999.99</v>
      </c>
      <c r="AZ21" s="103">
        <f>'Проверочная  таблица'!MI22</f>
        <v>1511159.8399999999</v>
      </c>
      <c r="BA21" s="101">
        <f>'Проверочная  таблица'!MN22</f>
        <v>0</v>
      </c>
      <c r="BB21" s="100">
        <f>'Проверочная  таблица'!NM22</f>
        <v>0</v>
      </c>
      <c r="BC21" s="101">
        <f>'Проверочная  таблица'!NP22</f>
        <v>0</v>
      </c>
      <c r="BD21" s="103">
        <f>'Проверочная  таблица'!OG22</f>
        <v>0</v>
      </c>
      <c r="BE21" s="101">
        <f>'Проверочная  таблица'!ON22</f>
        <v>0</v>
      </c>
      <c r="BF21" s="103">
        <f>'Проверочная  таблица'!NS22+'Проверочная  таблица'!OI22</f>
        <v>0</v>
      </c>
      <c r="BG21" s="103">
        <f>'Проверочная  таблица'!NZ22+'Проверочная  таблица'!OP22</f>
        <v>0</v>
      </c>
      <c r="BH21" s="103">
        <f>'Проверочная  таблица'!NU22</f>
        <v>139638100</v>
      </c>
      <c r="BI21" s="101">
        <f>'Проверочная  таблица'!OB22</f>
        <v>10343290.08</v>
      </c>
      <c r="BJ21" s="104">
        <f>'Проверочная  таблица'!OK22+'Проверочная  таблица'!NW22</f>
        <v>0</v>
      </c>
      <c r="BK21" s="103">
        <f>'Проверочная  таблица'!OR22+'Проверочная  таблица'!OD22</f>
        <v>0</v>
      </c>
      <c r="BL21" s="103">
        <f>'Проверочная  таблица'!PW22+'Проверочная  таблица'!QC22</f>
        <v>11561110</v>
      </c>
      <c r="BM21" s="101">
        <f>'Проверочная  таблица'!PZ22+'Проверочная  таблица'!QF22</f>
        <v>0</v>
      </c>
      <c r="BN21" s="104">
        <f t="shared" si="4"/>
        <v>17178299.390000001</v>
      </c>
      <c r="BO21" s="101">
        <f t="shared" si="5"/>
        <v>8636045.8000000007</v>
      </c>
      <c r="BP21" s="104">
        <f>'Проверочная  таблица'!RM22</f>
        <v>2032400</v>
      </c>
      <c r="BQ21" s="101">
        <f>'Проверочная  таблица'!RN22</f>
        <v>1149227.0999999999</v>
      </c>
      <c r="BR21" s="100">
        <f>'Проверочная  таблица'!RO22</f>
        <v>4000</v>
      </c>
      <c r="BS21" s="100">
        <f>'Проверочная  таблица'!RP22</f>
        <v>0</v>
      </c>
      <c r="BT21" s="280">
        <f>'Проверочная  таблица'!RQ22</f>
        <v>0</v>
      </c>
      <c r="BU21" s="170">
        <f>'Проверочная  таблица'!RR22</f>
        <v>0</v>
      </c>
      <c r="BV21" s="172">
        <f>'Проверочная  таблица'!RS22</f>
        <v>0</v>
      </c>
      <c r="BW21" s="170">
        <f>'Проверочная  таблица'!RT22</f>
        <v>0</v>
      </c>
      <c r="BX21" s="172">
        <f>'Проверочная  таблица'!RU22</f>
        <v>0</v>
      </c>
      <c r="BY21" s="280">
        <f>'Проверочная  таблица'!RV22</f>
        <v>0</v>
      </c>
      <c r="BZ21" s="103">
        <f>'Проверочная  таблица'!RY22</f>
        <v>12776480.91</v>
      </c>
      <c r="CA21" s="103">
        <f>'Проверочная  таблица'!SB22</f>
        <v>6383720.2599999998</v>
      </c>
      <c r="CB21" s="103">
        <f>'Проверочная  таблица'!SC22</f>
        <v>565418.4800000001</v>
      </c>
      <c r="CC21" s="101">
        <f>'Проверочная  таблица'!SD22</f>
        <v>0</v>
      </c>
      <c r="CD21" s="104">
        <f>'Проверочная  таблица'!SG22</f>
        <v>1800000</v>
      </c>
      <c r="CE21" s="103">
        <f>'Проверочная  таблица'!SJ22</f>
        <v>1103098.44</v>
      </c>
      <c r="CF21" s="103">
        <f t="shared" si="6"/>
        <v>69139400</v>
      </c>
      <c r="CG21" s="101">
        <f t="shared" si="7"/>
        <v>61005569.689999998</v>
      </c>
      <c r="CH21" s="104">
        <f>'Проверочная  таблица'!SO22</f>
        <v>19139400</v>
      </c>
      <c r="CI21" s="103">
        <f>'Проверочная  таблица'!SR22</f>
        <v>12967920</v>
      </c>
      <c r="CJ21" s="103">
        <f>'Проверочная  таблица'!ST22</f>
        <v>0</v>
      </c>
      <c r="CK21" s="103">
        <f>'Проверочная  таблица'!SW22</f>
        <v>0</v>
      </c>
      <c r="CL21" s="103">
        <f>'Проверочная  таблица'!SU22</f>
        <v>0</v>
      </c>
      <c r="CM21" s="101">
        <f>'Проверочная  таблица'!SX22</f>
        <v>0</v>
      </c>
      <c r="CN21" s="104">
        <f>'Проверочная  таблица'!SZ22+'Проверочная  таблица'!TD22</f>
        <v>0</v>
      </c>
      <c r="CO21" s="103">
        <f>'Проверочная  таблица'!TB22+'Проверочная  таблица'!TF22</f>
        <v>0</v>
      </c>
      <c r="CP21" s="103">
        <f>'Проверочная  таблица'!TM22+'Проверочная  таблица'!TS22</f>
        <v>50000000</v>
      </c>
      <c r="CQ21" s="101">
        <f>'Проверочная  таблица'!TP22+'Проверочная  таблица'!TV22</f>
        <v>48037649.689999998</v>
      </c>
      <c r="CR21" s="103">
        <f>'Проверочная  таблица'!UC22</f>
        <v>0</v>
      </c>
      <c r="CS21" s="103">
        <f>'Проверочная  таблица'!UF22</f>
        <v>0</v>
      </c>
      <c r="CT21" s="103">
        <f>'Проверочная  таблица'!UJ22</f>
        <v>0</v>
      </c>
      <c r="CU21" s="101">
        <f>'Проверочная  таблица'!UN22</f>
        <v>0</v>
      </c>
      <c r="CV21" s="104">
        <f>'Проверочная  таблица'!UI22</f>
        <v>0</v>
      </c>
      <c r="CW21" s="101">
        <f>'Проверочная  таблица'!UM22</f>
        <v>0</v>
      </c>
      <c r="CY21" s="937">
        <f t="shared" si="8"/>
        <v>15145.89939</v>
      </c>
      <c r="CZ21" s="937">
        <f t="shared" si="9"/>
        <v>7486.8187000000007</v>
      </c>
    </row>
    <row r="22" spans="1:104" ht="25.5" customHeight="1" x14ac:dyDescent="0.25">
      <c r="A22" s="102" t="s">
        <v>90</v>
      </c>
      <c r="B22" s="103">
        <f t="shared" si="0"/>
        <v>61888101.220000006</v>
      </c>
      <c r="C22" s="103">
        <f t="shared" si="1"/>
        <v>43963541.450000003</v>
      </c>
      <c r="D22" s="278">
        <f t="shared" si="2"/>
        <v>45681984.270000003</v>
      </c>
      <c r="E22" s="278">
        <f t="shared" si="3"/>
        <v>33230930.730000004</v>
      </c>
      <c r="F22" s="101">
        <f>'Проверочная  таблица'!CS23+'Проверочная  таблица'!CU23</f>
        <v>0</v>
      </c>
      <c r="G22" s="101">
        <f>'Проверочная  таблица'!CT23+'Проверочная  таблица'!CV23</f>
        <v>0</v>
      </c>
      <c r="H22" s="103">
        <f>'Проверочная  таблица'!DL23</f>
        <v>44180000</v>
      </c>
      <c r="I22" s="101">
        <f>'Проверочная  таблица'!DP23</f>
        <v>32742756.100000001</v>
      </c>
      <c r="J22" s="104">
        <f>'Проверочная  таблица'!DT23</f>
        <v>0</v>
      </c>
      <c r="K22" s="101">
        <f>'Проверочная  таблица'!EA23</f>
        <v>0</v>
      </c>
      <c r="L22" s="104">
        <f>'Проверочная  таблица'!DV23</f>
        <v>0</v>
      </c>
      <c r="M22" s="103">
        <f>'Проверочная  таблица'!EC23</f>
        <v>0</v>
      </c>
      <c r="N22" s="101">
        <f>'Проверочная  таблица'!EG23</f>
        <v>0</v>
      </c>
      <c r="O22" s="103">
        <f>'Проверочная  таблица'!EJ23</f>
        <v>0</v>
      </c>
      <c r="P22" s="103">
        <f>'Проверочная  таблица'!EM23</f>
        <v>0</v>
      </c>
      <c r="Q22" s="103">
        <f>'Проверочная  таблица'!ET23</f>
        <v>0</v>
      </c>
      <c r="R22" s="103">
        <f>'Проверочная  таблица'!EO23</f>
        <v>0</v>
      </c>
      <c r="S22" s="103">
        <f>'Проверочная  таблица'!EV23</f>
        <v>0</v>
      </c>
      <c r="T22" s="103">
        <f>'Проверочная  таблица'!EQ23</f>
        <v>0</v>
      </c>
      <c r="U22" s="101">
        <f>'Проверочная  таблица'!EX23</f>
        <v>0</v>
      </c>
      <c r="V22" s="104">
        <f>'Проверочная  таблица'!FA23</f>
        <v>0</v>
      </c>
      <c r="W22" s="101">
        <f>'Проверочная  таблица'!FD23</f>
        <v>0</v>
      </c>
      <c r="X22" s="104">
        <f>'Проверочная  таблица'!FG23</f>
        <v>0</v>
      </c>
      <c r="Y22" s="101">
        <f>'Проверочная  таблица'!FJ23</f>
        <v>0</v>
      </c>
      <c r="Z22" s="104">
        <f>'Проверочная  таблица'!FM23</f>
        <v>0</v>
      </c>
      <c r="AA22" s="103">
        <f>'Проверочная  таблица'!FP23</f>
        <v>0</v>
      </c>
      <c r="AB22" s="103">
        <f>'Проверочная  таблица'!FS23+'Проверочная  таблица'!FY23</f>
        <v>0</v>
      </c>
      <c r="AC22" s="103">
        <f>'Проверочная  таблица'!FV23+'Проверочная  таблица'!GB23</f>
        <v>0</v>
      </c>
      <c r="AD22" s="103">
        <f>'Проверочная  таблица'!GI23</f>
        <v>0</v>
      </c>
      <c r="AE22" s="103">
        <f>'Проверочная  таблица'!GL23</f>
        <v>0</v>
      </c>
      <c r="AF22" s="103">
        <f>'Проверочная  таблица'!MK23</f>
        <v>651700</v>
      </c>
      <c r="AG22" s="101">
        <f>'Проверочная  таблица'!MP23</f>
        <v>0</v>
      </c>
      <c r="AH22" s="104">
        <f>'Проверочная  таблица'!GO23+'Проверочная  таблица'!GU23</f>
        <v>0</v>
      </c>
      <c r="AI22" s="103">
        <f>'Проверочная  таблица'!GR23+'Проверочная  таблица'!GX23</f>
        <v>0</v>
      </c>
      <c r="AJ22" s="103">
        <f>'Проверочная  таблица'!HM23</f>
        <v>0</v>
      </c>
      <c r="AK22" s="101">
        <f>'Проверочная  таблица'!HP23</f>
        <v>0</v>
      </c>
      <c r="AL22" s="104">
        <f>'Проверочная  таблица'!HS23+'Проверочная  таблица'!HY23</f>
        <v>346401.64</v>
      </c>
      <c r="AM22" s="103">
        <f>'Проверочная  таблица'!HV23+'Проверочная  таблица'!IB23</f>
        <v>235287.01</v>
      </c>
      <c r="AN22" s="103">
        <f>'Проверочная  таблица'!IU23+'Проверочная  таблица'!JO23</f>
        <v>0</v>
      </c>
      <c r="AO22" s="103">
        <f>'Проверочная  таблица'!JT23+'Проверочная  таблица'!JE23</f>
        <v>0</v>
      </c>
      <c r="AP22" s="103">
        <f>'Проверочная  таблица'!IY23</f>
        <v>0</v>
      </c>
      <c r="AQ22" s="103">
        <f>'Проверочная  таблица'!JI23</f>
        <v>0</v>
      </c>
      <c r="AR22" s="103">
        <f>'Проверочная  таблица'!IW23</f>
        <v>0</v>
      </c>
      <c r="AS22" s="101">
        <f>'Проверочная  таблица'!JG23</f>
        <v>0</v>
      </c>
      <c r="AT22" s="103">
        <f>'Проверочная  таблица'!IS23+'Проверочная  таблица'!JM23</f>
        <v>0</v>
      </c>
      <c r="AU22" s="101">
        <f>'Проверочная  таблица'!JC23+'Проверочная  таблица'!JR23</f>
        <v>0</v>
      </c>
      <c r="AV22" s="104">
        <f>'Проверочная  таблица'!KQ23</f>
        <v>0</v>
      </c>
      <c r="AW22" s="103">
        <f>'Проверочная  таблица'!KU23</f>
        <v>0</v>
      </c>
      <c r="AX22" s="103">
        <f>'Проверочная  таблица'!LC23+'Проверочная  таблица'!LK23</f>
        <v>0</v>
      </c>
      <c r="AY22" s="101">
        <f>'Проверочная  таблица'!LG23+'Проверочная  таблица'!LO23</f>
        <v>0</v>
      </c>
      <c r="AZ22" s="103">
        <f>'Проверочная  таблица'!MI23</f>
        <v>503882.63</v>
      </c>
      <c r="BA22" s="101">
        <f>'Проверочная  таблица'!MN23</f>
        <v>252887.62</v>
      </c>
      <c r="BB22" s="100">
        <f>'Проверочная  таблица'!NM23</f>
        <v>0</v>
      </c>
      <c r="BC22" s="101">
        <f>'Проверочная  таблица'!NP23</f>
        <v>0</v>
      </c>
      <c r="BD22" s="103">
        <f>'Проверочная  таблица'!OG23</f>
        <v>0</v>
      </c>
      <c r="BE22" s="101">
        <f>'Проверочная  таблица'!ON23</f>
        <v>0</v>
      </c>
      <c r="BF22" s="103">
        <f>'Проверочная  таблица'!NS23+'Проверочная  таблица'!OI23</f>
        <v>0</v>
      </c>
      <c r="BG22" s="103">
        <f>'Проверочная  таблица'!NZ23+'Проверочная  таблица'!OP23</f>
        <v>0</v>
      </c>
      <c r="BH22" s="103">
        <f>'Проверочная  таблица'!NU23</f>
        <v>0</v>
      </c>
      <c r="BI22" s="101">
        <f>'Проверочная  таблица'!OB23</f>
        <v>0</v>
      </c>
      <c r="BJ22" s="104">
        <f>'Проверочная  таблица'!OK23+'Проверочная  таблица'!NW23</f>
        <v>0</v>
      </c>
      <c r="BK22" s="103">
        <f>'Проверочная  таблица'!OR23+'Проверочная  таблица'!OD23</f>
        <v>0</v>
      </c>
      <c r="BL22" s="103">
        <f>'Проверочная  таблица'!PW23+'Проверочная  таблица'!QC23</f>
        <v>0</v>
      </c>
      <c r="BM22" s="101">
        <f>'Проверочная  таблица'!PZ23+'Проверочная  таблица'!QF23</f>
        <v>0</v>
      </c>
      <c r="BN22" s="104">
        <f t="shared" si="4"/>
        <v>6909836.9500000002</v>
      </c>
      <c r="BO22" s="101">
        <f t="shared" si="5"/>
        <v>3649730.7199999997</v>
      </c>
      <c r="BP22" s="104">
        <f>'Проверочная  таблица'!RM23</f>
        <v>1279300</v>
      </c>
      <c r="BQ22" s="101">
        <f>'Проверочная  таблица'!RN23</f>
        <v>790938.87</v>
      </c>
      <c r="BR22" s="100">
        <f>'Проверочная  таблица'!RO23</f>
        <v>0</v>
      </c>
      <c r="BS22" s="100">
        <f>'Проверочная  таблица'!RP23</f>
        <v>0</v>
      </c>
      <c r="BT22" s="280">
        <f>'Проверочная  таблица'!RQ23</f>
        <v>0</v>
      </c>
      <c r="BU22" s="170">
        <f>'Проверочная  таблица'!RR23</f>
        <v>0</v>
      </c>
      <c r="BV22" s="172">
        <f>'Проверочная  таблица'!RS23</f>
        <v>0</v>
      </c>
      <c r="BW22" s="170">
        <f>'Проверочная  таблица'!RT23</f>
        <v>0</v>
      </c>
      <c r="BX22" s="172">
        <f>'Проверочная  таблица'!RU23</f>
        <v>0</v>
      </c>
      <c r="BY22" s="280">
        <f>'Проверочная  таблица'!RV23</f>
        <v>0</v>
      </c>
      <c r="BZ22" s="103">
        <f>'Проверочная  таблица'!RY23</f>
        <v>4245960.42</v>
      </c>
      <c r="CA22" s="103">
        <f>'Проверочная  таблица'!SB23</f>
        <v>2064745.95</v>
      </c>
      <c r="CB22" s="103">
        <f>'Проверочная  таблица'!SC23</f>
        <v>263576.52999999997</v>
      </c>
      <c r="CC22" s="101">
        <f>'Проверочная  таблица'!SD23</f>
        <v>0</v>
      </c>
      <c r="CD22" s="104">
        <f>'Проверочная  таблица'!SG23</f>
        <v>1121000</v>
      </c>
      <c r="CE22" s="103">
        <f>'Проверочная  таблица'!SJ23</f>
        <v>794045.9</v>
      </c>
      <c r="CF22" s="103">
        <f t="shared" si="6"/>
        <v>9296280</v>
      </c>
      <c r="CG22" s="101">
        <f t="shared" si="7"/>
        <v>7082880</v>
      </c>
      <c r="CH22" s="104">
        <f>'Проверочная  таблица'!SO23</f>
        <v>9296280</v>
      </c>
      <c r="CI22" s="103">
        <f>'Проверочная  таблица'!SR23</f>
        <v>7082880</v>
      </c>
      <c r="CJ22" s="103">
        <f>'Проверочная  таблица'!ST23</f>
        <v>0</v>
      </c>
      <c r="CK22" s="103">
        <f>'Проверочная  таблица'!SW23</f>
        <v>0</v>
      </c>
      <c r="CL22" s="103">
        <f>'Проверочная  таблица'!SU23</f>
        <v>0</v>
      </c>
      <c r="CM22" s="101">
        <f>'Проверочная  таблица'!SX23</f>
        <v>0</v>
      </c>
      <c r="CN22" s="104">
        <f>'Проверочная  таблица'!SZ23+'Проверочная  таблица'!TD23</f>
        <v>0</v>
      </c>
      <c r="CO22" s="103">
        <f>'Проверочная  таблица'!TB23+'Проверочная  таблица'!TF23</f>
        <v>0</v>
      </c>
      <c r="CP22" s="103">
        <f>'Проверочная  таблица'!TM23+'Проверочная  таблица'!TS23</f>
        <v>0</v>
      </c>
      <c r="CQ22" s="101">
        <f>'Проверочная  таблица'!TP23+'Проверочная  таблица'!TV23</f>
        <v>0</v>
      </c>
      <c r="CR22" s="103">
        <f>'Проверочная  таблица'!UC23</f>
        <v>0</v>
      </c>
      <c r="CS22" s="103">
        <f>'Проверочная  таблица'!UF23</f>
        <v>0</v>
      </c>
      <c r="CT22" s="103">
        <f>'Проверочная  таблица'!UJ23</f>
        <v>0</v>
      </c>
      <c r="CU22" s="101">
        <f>'Проверочная  таблица'!UN23</f>
        <v>0</v>
      </c>
      <c r="CV22" s="104">
        <f>'Проверочная  таблица'!UI23</f>
        <v>0</v>
      </c>
      <c r="CW22" s="101">
        <f>'Проверочная  таблица'!UM23</f>
        <v>0</v>
      </c>
      <c r="CY22" s="937">
        <f t="shared" si="8"/>
        <v>5630.5369500000006</v>
      </c>
      <c r="CZ22" s="937">
        <f t="shared" si="9"/>
        <v>2858.7918499999996</v>
      </c>
    </row>
    <row r="23" spans="1:104" ht="25.5" customHeight="1" x14ac:dyDescent="0.25">
      <c r="A23" s="105" t="s">
        <v>91</v>
      </c>
      <c r="B23" s="103">
        <f t="shared" si="0"/>
        <v>75346639.320000008</v>
      </c>
      <c r="C23" s="103">
        <f t="shared" si="1"/>
        <v>46131241.520000003</v>
      </c>
      <c r="D23" s="278">
        <f t="shared" si="2"/>
        <v>31580537.18</v>
      </c>
      <c r="E23" s="278">
        <f t="shared" si="3"/>
        <v>20622304.720000003</v>
      </c>
      <c r="F23" s="101">
        <f>'Проверочная  таблица'!CS24+'Проверочная  таблица'!CU24</f>
        <v>0</v>
      </c>
      <c r="G23" s="101">
        <f>'Проверочная  таблица'!CT24+'Проверочная  таблица'!CV24</f>
        <v>0</v>
      </c>
      <c r="H23" s="103">
        <f>'Проверочная  таблица'!DL24</f>
        <v>0</v>
      </c>
      <c r="I23" s="101">
        <f>'Проверочная  таблица'!DP24</f>
        <v>0</v>
      </c>
      <c r="J23" s="104">
        <f>'Проверочная  таблица'!DT24</f>
        <v>0</v>
      </c>
      <c r="K23" s="101">
        <f>'Проверочная  таблица'!EA24</f>
        <v>0</v>
      </c>
      <c r="L23" s="104">
        <f>'Проверочная  таблица'!DV24</f>
        <v>0</v>
      </c>
      <c r="M23" s="103">
        <f>'Проверочная  таблица'!EC24</f>
        <v>0</v>
      </c>
      <c r="N23" s="101">
        <f>'Проверочная  таблица'!EG24</f>
        <v>0</v>
      </c>
      <c r="O23" s="103">
        <f>'Проверочная  таблица'!EJ24</f>
        <v>0</v>
      </c>
      <c r="P23" s="103">
        <f>'Проверочная  таблица'!EM24</f>
        <v>0</v>
      </c>
      <c r="Q23" s="103">
        <f>'Проверочная  таблица'!ET24</f>
        <v>0</v>
      </c>
      <c r="R23" s="103">
        <f>'Проверочная  таблица'!EO24</f>
        <v>0</v>
      </c>
      <c r="S23" s="103">
        <f>'Проверочная  таблица'!EV24</f>
        <v>0</v>
      </c>
      <c r="T23" s="103">
        <f>'Проверочная  таблица'!EQ24</f>
        <v>0</v>
      </c>
      <c r="U23" s="101">
        <f>'Проверочная  таблица'!EX24</f>
        <v>0</v>
      </c>
      <c r="V23" s="104">
        <f>'Проверочная  таблица'!FA24</f>
        <v>0</v>
      </c>
      <c r="W23" s="101">
        <f>'Проверочная  таблица'!FD24</f>
        <v>0</v>
      </c>
      <c r="X23" s="104">
        <f>'Проверочная  таблица'!FG24</f>
        <v>0</v>
      </c>
      <c r="Y23" s="101">
        <f>'Проверочная  таблица'!FJ24</f>
        <v>0</v>
      </c>
      <c r="Z23" s="104">
        <f>'Проверочная  таблица'!FM24</f>
        <v>0</v>
      </c>
      <c r="AA23" s="103">
        <f>'Проверочная  таблица'!FP24</f>
        <v>0</v>
      </c>
      <c r="AB23" s="103">
        <f>'Проверочная  таблица'!FS24+'Проверочная  таблица'!FY24</f>
        <v>0</v>
      </c>
      <c r="AC23" s="103">
        <f>'Проверочная  таблица'!FV24+'Проверочная  таблица'!GB24</f>
        <v>0</v>
      </c>
      <c r="AD23" s="103">
        <f>'Проверочная  таблица'!GI24</f>
        <v>0</v>
      </c>
      <c r="AE23" s="103">
        <f>'Проверочная  таблица'!GL24</f>
        <v>0</v>
      </c>
      <c r="AF23" s="103">
        <f>'Проверочная  таблица'!MK24</f>
        <v>0</v>
      </c>
      <c r="AG23" s="101">
        <f>'Проверочная  таблица'!MP24</f>
        <v>0</v>
      </c>
      <c r="AH23" s="104">
        <f>'Проверочная  таблица'!GO24+'Проверочная  таблица'!GU24</f>
        <v>39570.370000000003</v>
      </c>
      <c r="AI23" s="103">
        <f>'Проверочная  таблица'!GR24+'Проверочная  таблица'!GX24</f>
        <v>0</v>
      </c>
      <c r="AJ23" s="103">
        <f>'Проверочная  таблица'!HM24</f>
        <v>0</v>
      </c>
      <c r="AK23" s="101">
        <f>'Проверочная  таблица'!HP24</f>
        <v>0</v>
      </c>
      <c r="AL23" s="104">
        <f>'Проверочная  таблица'!HS24+'Проверочная  таблица'!HY24</f>
        <v>1184813.6599999999</v>
      </c>
      <c r="AM23" s="103">
        <f>'Проверочная  таблица'!HV24+'Проверочная  таблица'!IB24</f>
        <v>958113.47</v>
      </c>
      <c r="AN23" s="103">
        <f>'Проверочная  таблица'!IU24+'Проверочная  таблица'!JO24</f>
        <v>0</v>
      </c>
      <c r="AO23" s="103">
        <f>'Проверочная  таблица'!JT24+'Проверочная  таблица'!JE24</f>
        <v>0</v>
      </c>
      <c r="AP23" s="103">
        <f>'Проверочная  таблица'!IY24</f>
        <v>5009875.78</v>
      </c>
      <c r="AQ23" s="103">
        <f>'Проверочная  таблица'!JI24</f>
        <v>5009875.78</v>
      </c>
      <c r="AR23" s="103">
        <f>'Проверочная  таблица'!IW24</f>
        <v>23938813.579999998</v>
      </c>
      <c r="AS23" s="101">
        <f>'Проверочная  таблица'!JG24</f>
        <v>14654315.470000001</v>
      </c>
      <c r="AT23" s="103">
        <f>'Проверочная  таблица'!IS24+'Проверочная  таблица'!JM24</f>
        <v>0</v>
      </c>
      <c r="AU23" s="101">
        <f>'Проверочная  таблица'!JC24+'Проверочная  таблица'!JR24</f>
        <v>0</v>
      </c>
      <c r="AV23" s="104">
        <f>'Проверочная  таблица'!KQ24</f>
        <v>0</v>
      </c>
      <c r="AW23" s="103">
        <f>'Проверочная  таблица'!KU24</f>
        <v>0</v>
      </c>
      <c r="AX23" s="103">
        <f>'Проверочная  таблица'!LC24+'Проверочная  таблица'!LK24</f>
        <v>0</v>
      </c>
      <c r="AY23" s="101">
        <f>'Проверочная  таблица'!LG24+'Проверочная  таблица'!LO24</f>
        <v>0</v>
      </c>
      <c r="AZ23" s="103">
        <f>'Проверочная  таблица'!MI24</f>
        <v>1407463.79</v>
      </c>
      <c r="BA23" s="101">
        <f>'Проверочная  таблица'!MN24</f>
        <v>0</v>
      </c>
      <c r="BB23" s="100">
        <f>'Проверочная  таблица'!NM24</f>
        <v>0</v>
      </c>
      <c r="BC23" s="101">
        <f>'Проверочная  таблица'!NP24</f>
        <v>0</v>
      </c>
      <c r="BD23" s="103">
        <f>'Проверочная  таблица'!OG24</f>
        <v>0</v>
      </c>
      <c r="BE23" s="101">
        <f>'Проверочная  таблица'!ON24</f>
        <v>0</v>
      </c>
      <c r="BF23" s="103">
        <f>'Проверочная  таблица'!NS24+'Проверочная  таблица'!OI24</f>
        <v>0</v>
      </c>
      <c r="BG23" s="103">
        <f>'Проверочная  таблица'!NZ24+'Проверочная  таблица'!OP24</f>
        <v>0</v>
      </c>
      <c r="BH23" s="103">
        <f>'Проверочная  таблица'!NU24</f>
        <v>0</v>
      </c>
      <c r="BI23" s="101">
        <f>'Проверочная  таблица'!OB24</f>
        <v>0</v>
      </c>
      <c r="BJ23" s="104">
        <f>'Проверочная  таблица'!OK24+'Проверочная  таблица'!NW24</f>
        <v>0</v>
      </c>
      <c r="BK23" s="103">
        <f>'Проверочная  таблица'!OR24+'Проверочная  таблица'!OD24</f>
        <v>0</v>
      </c>
      <c r="BL23" s="103">
        <f>'Проверочная  таблица'!PW24+'Проверочная  таблица'!QC24</f>
        <v>0</v>
      </c>
      <c r="BM23" s="101">
        <f>'Проверочная  таблица'!PZ24+'Проверочная  таблица'!QF24</f>
        <v>0</v>
      </c>
      <c r="BN23" s="104">
        <f t="shared" si="4"/>
        <v>21580022.140000004</v>
      </c>
      <c r="BO23" s="101">
        <f t="shared" si="5"/>
        <v>10841558.48</v>
      </c>
      <c r="BP23" s="104">
        <f>'Проверочная  таблица'!RM24</f>
        <v>3348300</v>
      </c>
      <c r="BQ23" s="101">
        <f>'Проверочная  таблица'!RN24</f>
        <v>1992552.54</v>
      </c>
      <c r="BR23" s="100">
        <f>'Проверочная  таблица'!RO24</f>
        <v>7000</v>
      </c>
      <c r="BS23" s="100">
        <f>'Проверочная  таблица'!RP24</f>
        <v>0</v>
      </c>
      <c r="BT23" s="280">
        <f>'Проверочная  таблица'!RQ24</f>
        <v>515500</v>
      </c>
      <c r="BU23" s="170">
        <f>'Проверочная  таблица'!RR24</f>
        <v>0</v>
      </c>
      <c r="BV23" s="172">
        <f>'Проверочная  таблица'!RS24</f>
        <v>0</v>
      </c>
      <c r="BW23" s="170">
        <f>'Проверочная  таблица'!RT24</f>
        <v>0</v>
      </c>
      <c r="BX23" s="172">
        <f>'Проверочная  таблица'!RU24</f>
        <v>0</v>
      </c>
      <c r="BY23" s="280">
        <f>'Проверочная  таблица'!RV24</f>
        <v>0</v>
      </c>
      <c r="BZ23" s="103">
        <f>'Проверочная  таблица'!RY24</f>
        <v>14970227.130000001</v>
      </c>
      <c r="CA23" s="103">
        <f>'Проверочная  таблица'!SB24</f>
        <v>7437445.8499999996</v>
      </c>
      <c r="CB23" s="103">
        <f>'Проверочная  таблица'!SC24</f>
        <v>828995.01</v>
      </c>
      <c r="CC23" s="101">
        <f>'Проверочная  таблица'!SD24</f>
        <v>0</v>
      </c>
      <c r="CD23" s="104">
        <f>'Проверочная  таблица'!SG24</f>
        <v>1910000</v>
      </c>
      <c r="CE23" s="103">
        <f>'Проверочная  таблица'!SJ24</f>
        <v>1411560.09</v>
      </c>
      <c r="CF23" s="103">
        <f t="shared" si="6"/>
        <v>22186080</v>
      </c>
      <c r="CG23" s="101">
        <f t="shared" si="7"/>
        <v>14667378.32</v>
      </c>
      <c r="CH23" s="104">
        <f>'Проверочная  таблица'!SO24</f>
        <v>22186080</v>
      </c>
      <c r="CI23" s="103">
        <f>'Проверочная  таблица'!SR24</f>
        <v>14667378.32</v>
      </c>
      <c r="CJ23" s="103">
        <f>'Проверочная  таблица'!ST24</f>
        <v>0</v>
      </c>
      <c r="CK23" s="103">
        <f>'Проверочная  таблица'!SW24</f>
        <v>0</v>
      </c>
      <c r="CL23" s="103">
        <f>'Проверочная  таблица'!SU24</f>
        <v>0</v>
      </c>
      <c r="CM23" s="101">
        <f>'Проверочная  таблица'!SX24</f>
        <v>0</v>
      </c>
      <c r="CN23" s="104">
        <f>'Проверочная  таблица'!SZ24+'Проверочная  таблица'!TD24</f>
        <v>0</v>
      </c>
      <c r="CO23" s="103">
        <f>'Проверочная  таблица'!TB24+'Проверочная  таблица'!TF24</f>
        <v>0</v>
      </c>
      <c r="CP23" s="103">
        <f>'Проверочная  таблица'!TM24+'Проверочная  таблица'!TS24</f>
        <v>0</v>
      </c>
      <c r="CQ23" s="101">
        <f>'Проверочная  таблица'!TP24+'Проверочная  таблица'!TV24</f>
        <v>0</v>
      </c>
      <c r="CR23" s="103">
        <f>'Проверочная  таблица'!UC24</f>
        <v>0</v>
      </c>
      <c r="CS23" s="103">
        <f>'Проверочная  таблица'!UF24</f>
        <v>0</v>
      </c>
      <c r="CT23" s="103">
        <f>'Проверочная  таблица'!UJ24</f>
        <v>0</v>
      </c>
      <c r="CU23" s="101">
        <f>'Проверочная  таблица'!UN24</f>
        <v>0</v>
      </c>
      <c r="CV23" s="104">
        <f>'Проверочная  таблица'!UI24</f>
        <v>0</v>
      </c>
      <c r="CW23" s="101">
        <f>'Проверочная  таблица'!UM24</f>
        <v>0</v>
      </c>
      <c r="CY23" s="937">
        <f t="shared" si="8"/>
        <v>18231.722140000005</v>
      </c>
      <c r="CZ23" s="937">
        <f t="shared" si="9"/>
        <v>8849.0059400000009</v>
      </c>
    </row>
    <row r="24" spans="1:104" ht="25.5" customHeight="1" x14ac:dyDescent="0.25">
      <c r="A24" s="102" t="s">
        <v>92</v>
      </c>
      <c r="B24" s="103">
        <f t="shared" si="0"/>
        <v>20418360.98</v>
      </c>
      <c r="C24" s="103">
        <f t="shared" si="1"/>
        <v>12775685</v>
      </c>
      <c r="D24" s="278">
        <f t="shared" si="2"/>
        <v>2342670.5699999998</v>
      </c>
      <c r="E24" s="278">
        <f t="shared" si="3"/>
        <v>565373.9</v>
      </c>
      <c r="F24" s="101">
        <f>'Проверочная  таблица'!CS25+'Проверочная  таблица'!CU25</f>
        <v>0</v>
      </c>
      <c r="G24" s="101">
        <f>'Проверочная  таблица'!CT25+'Проверочная  таблица'!CV25</f>
        <v>0</v>
      </c>
      <c r="H24" s="103">
        <f>'Проверочная  таблица'!DL25</f>
        <v>0</v>
      </c>
      <c r="I24" s="101">
        <f>'Проверочная  таблица'!DP25</f>
        <v>0</v>
      </c>
      <c r="J24" s="104">
        <f>'Проверочная  таблица'!DT25</f>
        <v>0</v>
      </c>
      <c r="K24" s="101">
        <f>'Проверочная  таблица'!EA25</f>
        <v>0</v>
      </c>
      <c r="L24" s="104">
        <f>'Проверочная  таблица'!DV25</f>
        <v>0</v>
      </c>
      <c r="M24" s="103">
        <f>'Проверочная  таблица'!EC25</f>
        <v>0</v>
      </c>
      <c r="N24" s="101">
        <f>'Проверочная  таблица'!EG25</f>
        <v>0</v>
      </c>
      <c r="O24" s="103">
        <f>'Проверочная  таблица'!EJ25</f>
        <v>0</v>
      </c>
      <c r="P24" s="103">
        <f>'Проверочная  таблица'!EM25</f>
        <v>0</v>
      </c>
      <c r="Q24" s="103">
        <f>'Проверочная  таблица'!ET25</f>
        <v>0</v>
      </c>
      <c r="R24" s="103">
        <f>'Проверочная  таблица'!EO25</f>
        <v>0</v>
      </c>
      <c r="S24" s="103">
        <f>'Проверочная  таблица'!EV25</f>
        <v>0</v>
      </c>
      <c r="T24" s="103">
        <f>'Проверочная  таблица'!EQ25</f>
        <v>0</v>
      </c>
      <c r="U24" s="101">
        <f>'Проверочная  таблица'!EX25</f>
        <v>0</v>
      </c>
      <c r="V24" s="104">
        <f>'Проверочная  таблица'!FA25</f>
        <v>0</v>
      </c>
      <c r="W24" s="101">
        <f>'Проверочная  таблица'!FD25</f>
        <v>0</v>
      </c>
      <c r="X24" s="104">
        <f>'Проверочная  таблица'!FG25</f>
        <v>0</v>
      </c>
      <c r="Y24" s="101">
        <f>'Проверочная  таблица'!FJ25</f>
        <v>0</v>
      </c>
      <c r="Z24" s="104">
        <f>'Проверочная  таблица'!FM25</f>
        <v>0</v>
      </c>
      <c r="AA24" s="103">
        <f>'Проверочная  таблица'!FP25</f>
        <v>0</v>
      </c>
      <c r="AB24" s="103">
        <f>'Проверочная  таблица'!FS25+'Проверочная  таблица'!FY25</f>
        <v>0</v>
      </c>
      <c r="AC24" s="103">
        <f>'Проверочная  таблица'!FV25+'Проверочная  таблица'!GB25</f>
        <v>0</v>
      </c>
      <c r="AD24" s="103">
        <f>'Проверочная  таблица'!GI25</f>
        <v>0</v>
      </c>
      <c r="AE24" s="103">
        <f>'Проверочная  таблица'!GL25</f>
        <v>0</v>
      </c>
      <c r="AF24" s="103">
        <f>'Проверочная  таблица'!MK25</f>
        <v>0</v>
      </c>
      <c r="AG24" s="101">
        <f>'Проверочная  таблица'!MP25</f>
        <v>0</v>
      </c>
      <c r="AH24" s="104">
        <f>'Проверочная  таблица'!GO25+'Проверочная  таблица'!GU25</f>
        <v>0</v>
      </c>
      <c r="AI24" s="103">
        <f>'Проверочная  таблица'!GR25+'Проверочная  таблица'!GX25</f>
        <v>0</v>
      </c>
      <c r="AJ24" s="103">
        <f>'Проверочная  таблица'!HM25</f>
        <v>0</v>
      </c>
      <c r="AK24" s="101">
        <f>'Проверочная  таблица'!HP25</f>
        <v>0</v>
      </c>
      <c r="AL24" s="104">
        <f>'Проверочная  таблица'!HS25+'Проверочная  таблица'!HY25</f>
        <v>899880.57</v>
      </c>
      <c r="AM24" s="103">
        <f>'Проверочная  таблица'!HV25+'Проверочная  таблица'!IB25</f>
        <v>565373.9</v>
      </c>
      <c r="AN24" s="103">
        <f>'Проверочная  таблица'!IU25+'Проверочная  таблица'!JO25</f>
        <v>0</v>
      </c>
      <c r="AO24" s="103">
        <f>'Проверочная  таблица'!JT25+'Проверочная  таблица'!JE25</f>
        <v>0</v>
      </c>
      <c r="AP24" s="103">
        <f>'Проверочная  таблица'!IY25</f>
        <v>0</v>
      </c>
      <c r="AQ24" s="103">
        <f>'Проверочная  таблица'!JI25</f>
        <v>0</v>
      </c>
      <c r="AR24" s="103">
        <f>'Проверочная  таблица'!IW25</f>
        <v>0</v>
      </c>
      <c r="AS24" s="101">
        <f>'Проверочная  таблица'!JG25</f>
        <v>0</v>
      </c>
      <c r="AT24" s="103">
        <f>'Проверочная  таблица'!IS25+'Проверочная  таблица'!JM25</f>
        <v>0</v>
      </c>
      <c r="AU24" s="101">
        <f>'Проверочная  таблица'!JC25+'Проверочная  таблица'!JR25</f>
        <v>0</v>
      </c>
      <c r="AV24" s="104">
        <f>'Проверочная  таблица'!KQ25</f>
        <v>0</v>
      </c>
      <c r="AW24" s="103">
        <f>'Проверочная  таблица'!KU25</f>
        <v>0</v>
      </c>
      <c r="AX24" s="103">
        <f>'Проверочная  таблица'!LC25+'Проверочная  таблица'!LK25</f>
        <v>0</v>
      </c>
      <c r="AY24" s="101">
        <f>'Проверочная  таблица'!LG25+'Проверочная  таблица'!LO25</f>
        <v>0</v>
      </c>
      <c r="AZ24" s="103">
        <f>'Проверочная  таблица'!MI25</f>
        <v>1442790</v>
      </c>
      <c r="BA24" s="101">
        <f>'Проверочная  таблица'!MN25</f>
        <v>0</v>
      </c>
      <c r="BB24" s="100">
        <f>'Проверочная  таблица'!NM25</f>
        <v>0</v>
      </c>
      <c r="BC24" s="101">
        <f>'Проверочная  таблица'!NP25</f>
        <v>0</v>
      </c>
      <c r="BD24" s="103">
        <f>'Проверочная  таблица'!OG25</f>
        <v>0</v>
      </c>
      <c r="BE24" s="101">
        <f>'Проверочная  таблица'!ON25</f>
        <v>0</v>
      </c>
      <c r="BF24" s="103">
        <f>'Проверочная  таблица'!NS25+'Проверочная  таблица'!OI25</f>
        <v>0</v>
      </c>
      <c r="BG24" s="103">
        <f>'Проверочная  таблица'!NZ25+'Проверочная  таблица'!OP25</f>
        <v>0</v>
      </c>
      <c r="BH24" s="103">
        <f>'Проверочная  таблица'!NU25</f>
        <v>0</v>
      </c>
      <c r="BI24" s="101">
        <f>'Проверочная  таблица'!OB25</f>
        <v>0</v>
      </c>
      <c r="BJ24" s="104">
        <f>'Проверочная  таблица'!OK25+'Проверочная  таблица'!NW25</f>
        <v>0</v>
      </c>
      <c r="BK24" s="103">
        <f>'Проверочная  таблица'!OR25+'Проверочная  таблица'!OD25</f>
        <v>0</v>
      </c>
      <c r="BL24" s="103">
        <f>'Проверочная  таблица'!PW25+'Проверочная  таблица'!QC25</f>
        <v>0</v>
      </c>
      <c r="BM24" s="101">
        <f>'Проверочная  таблица'!PZ25+'Проверочная  таблица'!QF25</f>
        <v>0</v>
      </c>
      <c r="BN24" s="104">
        <f t="shared" si="4"/>
        <v>7451370.4100000001</v>
      </c>
      <c r="BO24" s="101">
        <f t="shared" si="5"/>
        <v>4353332.7699999996</v>
      </c>
      <c r="BP24" s="104">
        <f>'Проверочная  таблица'!RM25</f>
        <v>1502700</v>
      </c>
      <c r="BQ24" s="101">
        <f>'Проверочная  таблица'!RN25</f>
        <v>1050929.6300000001</v>
      </c>
      <c r="BR24" s="100">
        <f>'Проверочная  таблица'!RO25</f>
        <v>0</v>
      </c>
      <c r="BS24" s="100">
        <f>'Проверочная  таблица'!RP25</f>
        <v>0</v>
      </c>
      <c r="BT24" s="280">
        <f>'Проверочная  таблица'!RQ25</f>
        <v>0</v>
      </c>
      <c r="BU24" s="170">
        <f>'Проверочная  таблица'!RR25</f>
        <v>0</v>
      </c>
      <c r="BV24" s="172">
        <f>'Проверочная  таблица'!RS25</f>
        <v>0</v>
      </c>
      <c r="BW24" s="170">
        <f>'Проверочная  таблица'!RT25</f>
        <v>0</v>
      </c>
      <c r="BX24" s="172">
        <f>'Проверочная  таблица'!RU25</f>
        <v>0</v>
      </c>
      <c r="BY24" s="280">
        <f>'Проверочная  таблица'!RV25</f>
        <v>0</v>
      </c>
      <c r="BZ24" s="103">
        <f>'Проверочная  таблица'!RY25</f>
        <v>4233093.88</v>
      </c>
      <c r="CA24" s="103">
        <f>'Проверочная  таблица'!SB25</f>
        <v>2183121.7200000002</v>
      </c>
      <c r="CB24" s="103">
        <f>'Проверочная  таблица'!SC25</f>
        <v>263576.52999999997</v>
      </c>
      <c r="CC24" s="101">
        <f>'Проверочная  таблица'!SD25</f>
        <v>0</v>
      </c>
      <c r="CD24" s="104">
        <f>'Проверочная  таблица'!SG25</f>
        <v>1452000</v>
      </c>
      <c r="CE24" s="103">
        <f>'Проверочная  таблица'!SJ25</f>
        <v>1119281.42</v>
      </c>
      <c r="CF24" s="103">
        <f t="shared" si="6"/>
        <v>10624320</v>
      </c>
      <c r="CG24" s="101">
        <f t="shared" si="7"/>
        <v>7856978.3300000001</v>
      </c>
      <c r="CH24" s="104">
        <f>'Проверочная  таблица'!SO25</f>
        <v>10624320</v>
      </c>
      <c r="CI24" s="103">
        <f>'Проверочная  таблица'!SR25</f>
        <v>7856978.3300000001</v>
      </c>
      <c r="CJ24" s="103">
        <f>'Проверочная  таблица'!ST25</f>
        <v>0</v>
      </c>
      <c r="CK24" s="103">
        <f>'Проверочная  таблица'!SW25</f>
        <v>0</v>
      </c>
      <c r="CL24" s="103">
        <f>'Проверочная  таблица'!SU25</f>
        <v>0</v>
      </c>
      <c r="CM24" s="101">
        <f>'Проверочная  таблица'!SX25</f>
        <v>0</v>
      </c>
      <c r="CN24" s="104">
        <f>'Проверочная  таблица'!SZ25+'Проверочная  таблица'!TD25</f>
        <v>0</v>
      </c>
      <c r="CO24" s="103">
        <f>'Проверочная  таблица'!TB25+'Проверочная  таблица'!TF25</f>
        <v>0</v>
      </c>
      <c r="CP24" s="103">
        <f>'Проверочная  таблица'!TM25+'Проверочная  таблица'!TS25</f>
        <v>0</v>
      </c>
      <c r="CQ24" s="101">
        <f>'Проверочная  таблица'!TP25+'Проверочная  таблица'!TV25</f>
        <v>0</v>
      </c>
      <c r="CR24" s="103">
        <f>'Проверочная  таблица'!UC25</f>
        <v>0</v>
      </c>
      <c r="CS24" s="103">
        <f>'Проверочная  таблица'!UF25</f>
        <v>0</v>
      </c>
      <c r="CT24" s="103">
        <f>'Проверочная  таблица'!UJ25</f>
        <v>0</v>
      </c>
      <c r="CU24" s="101">
        <f>'Проверочная  таблица'!UN25</f>
        <v>0</v>
      </c>
      <c r="CV24" s="104">
        <f>'Проверочная  таблица'!UI25</f>
        <v>0</v>
      </c>
      <c r="CW24" s="101">
        <f>'Проверочная  таблица'!UM25</f>
        <v>0</v>
      </c>
      <c r="CY24" s="937">
        <f t="shared" si="8"/>
        <v>5948.6704099999997</v>
      </c>
      <c r="CZ24" s="937">
        <f t="shared" si="9"/>
        <v>3302.4031399999994</v>
      </c>
    </row>
    <row r="25" spans="1:104" ht="25.5" customHeight="1" x14ac:dyDescent="0.25">
      <c r="A25" s="105" t="s">
        <v>93</v>
      </c>
      <c r="B25" s="103">
        <f t="shared" si="0"/>
        <v>28884080.219999999</v>
      </c>
      <c r="C25" s="103">
        <f t="shared" si="1"/>
        <v>20567242.190000001</v>
      </c>
      <c r="D25" s="278">
        <f t="shared" si="2"/>
        <v>5887400.9800000004</v>
      </c>
      <c r="E25" s="278">
        <f t="shared" si="3"/>
        <v>5887400.9800000004</v>
      </c>
      <c r="F25" s="101">
        <f>'Проверочная  таблица'!CS26+'Проверочная  таблица'!CU26</f>
        <v>0</v>
      </c>
      <c r="G25" s="101">
        <f>'Проверочная  таблица'!CT26+'Проверочная  таблица'!CV26</f>
        <v>0</v>
      </c>
      <c r="H25" s="103">
        <f>'Проверочная  таблица'!DL26</f>
        <v>0</v>
      </c>
      <c r="I25" s="101">
        <f>'Проверочная  таблица'!DP26</f>
        <v>0</v>
      </c>
      <c r="J25" s="104">
        <f>'Проверочная  таблица'!DT26</f>
        <v>0</v>
      </c>
      <c r="K25" s="101">
        <f>'Проверочная  таблица'!EA26</f>
        <v>0</v>
      </c>
      <c r="L25" s="104">
        <f>'Проверочная  таблица'!DV26</f>
        <v>0</v>
      </c>
      <c r="M25" s="103">
        <f>'Проверочная  таблица'!EC26</f>
        <v>0</v>
      </c>
      <c r="N25" s="101">
        <f>'Проверочная  таблица'!EG26</f>
        <v>0</v>
      </c>
      <c r="O25" s="103">
        <f>'Проверочная  таблица'!EJ26</f>
        <v>0</v>
      </c>
      <c r="P25" s="103">
        <f>'Проверочная  таблица'!EM26</f>
        <v>0</v>
      </c>
      <c r="Q25" s="103">
        <f>'Проверочная  таблица'!ET26</f>
        <v>0</v>
      </c>
      <c r="R25" s="103">
        <f>'Проверочная  таблица'!EO26</f>
        <v>0</v>
      </c>
      <c r="S25" s="103">
        <f>'Проверочная  таблица'!EV26</f>
        <v>0</v>
      </c>
      <c r="T25" s="103">
        <f>'Проверочная  таблица'!EQ26</f>
        <v>0</v>
      </c>
      <c r="U25" s="101">
        <f>'Проверочная  таблица'!EX26</f>
        <v>0</v>
      </c>
      <c r="V25" s="104">
        <f>'Проверочная  таблица'!FA26</f>
        <v>0</v>
      </c>
      <c r="W25" s="101">
        <f>'Проверочная  таблица'!FD26</f>
        <v>0</v>
      </c>
      <c r="X25" s="104">
        <f>'Проверочная  таблица'!FG26</f>
        <v>0</v>
      </c>
      <c r="Y25" s="101">
        <f>'Проверочная  таблица'!FJ26</f>
        <v>0</v>
      </c>
      <c r="Z25" s="104">
        <f>'Проверочная  таблица'!FM26</f>
        <v>0</v>
      </c>
      <c r="AA25" s="103">
        <f>'Проверочная  таблица'!FP26</f>
        <v>0</v>
      </c>
      <c r="AB25" s="103">
        <f>'Проверочная  таблица'!FS26+'Проверочная  таблица'!FY26</f>
        <v>0</v>
      </c>
      <c r="AC25" s="103">
        <f>'Проверочная  таблица'!FV26+'Проверочная  таблица'!GB26</f>
        <v>0</v>
      </c>
      <c r="AD25" s="103">
        <f>'Проверочная  таблица'!GI26</f>
        <v>0</v>
      </c>
      <c r="AE25" s="103">
        <f>'Проверочная  таблица'!GL26</f>
        <v>0</v>
      </c>
      <c r="AF25" s="103">
        <f>'Проверочная  таблица'!MK26</f>
        <v>0</v>
      </c>
      <c r="AG25" s="101">
        <f>'Проверочная  таблица'!MP26</f>
        <v>0</v>
      </c>
      <c r="AH25" s="104">
        <f>'Проверочная  таблица'!GO26+'Проверочная  таблица'!GU26</f>
        <v>0</v>
      </c>
      <c r="AI25" s="103">
        <f>'Проверочная  таблица'!GR26+'Проверочная  таблица'!GX26</f>
        <v>0</v>
      </c>
      <c r="AJ25" s="103">
        <f>'Проверочная  таблица'!HM26</f>
        <v>0</v>
      </c>
      <c r="AK25" s="101">
        <f>'Проверочная  таблица'!HP26</f>
        <v>0</v>
      </c>
      <c r="AL25" s="104">
        <f>'Проверочная  таблица'!HS26+'Проверочная  таблица'!HY26</f>
        <v>351168.39</v>
      </c>
      <c r="AM25" s="103">
        <f>'Проверочная  таблица'!HV26+'Проверочная  таблица'!IB26</f>
        <v>351168.39</v>
      </c>
      <c r="AN25" s="103">
        <f>'Проверочная  таблица'!IU26+'Проверочная  таблица'!JO26</f>
        <v>0</v>
      </c>
      <c r="AO25" s="103">
        <f>'Проверочная  таблица'!JT26+'Проверочная  таблица'!JE26</f>
        <v>0</v>
      </c>
      <c r="AP25" s="103">
        <f>'Проверочная  таблица'!IY26</f>
        <v>5000387.37</v>
      </c>
      <c r="AQ25" s="103">
        <f>'Проверочная  таблица'!JI26</f>
        <v>5000387.37</v>
      </c>
      <c r="AR25" s="103">
        <f>'Проверочная  таблица'!IW26</f>
        <v>0</v>
      </c>
      <c r="AS25" s="101">
        <f>'Проверочная  таблица'!JG26</f>
        <v>0</v>
      </c>
      <c r="AT25" s="103">
        <f>'Проверочная  таблица'!IS26+'Проверочная  таблица'!JM26</f>
        <v>0</v>
      </c>
      <c r="AU25" s="101">
        <f>'Проверочная  таблица'!JC26+'Проверочная  таблица'!JR26</f>
        <v>0</v>
      </c>
      <c r="AV25" s="104">
        <f>'Проверочная  таблица'!KQ26</f>
        <v>0</v>
      </c>
      <c r="AW25" s="103">
        <f>'Проверочная  таблица'!KU26</f>
        <v>0</v>
      </c>
      <c r="AX25" s="103">
        <f>'Проверочная  таблица'!LC26+'Проверочная  таблица'!LK26</f>
        <v>0</v>
      </c>
      <c r="AY25" s="101">
        <f>'Проверочная  таблица'!LG26+'Проверочная  таблица'!LO26</f>
        <v>0</v>
      </c>
      <c r="AZ25" s="103">
        <f>'Проверочная  таблица'!MI26</f>
        <v>535845.22000000009</v>
      </c>
      <c r="BA25" s="101">
        <f>'Проверочная  таблица'!MN26</f>
        <v>535845.22</v>
      </c>
      <c r="BB25" s="100">
        <f>'Проверочная  таблица'!NM26</f>
        <v>0</v>
      </c>
      <c r="BC25" s="101">
        <f>'Проверочная  таблица'!NP26</f>
        <v>0</v>
      </c>
      <c r="BD25" s="103">
        <f>'Проверочная  таблица'!OG26</f>
        <v>0</v>
      </c>
      <c r="BE25" s="101">
        <f>'Проверочная  таблица'!ON26</f>
        <v>0</v>
      </c>
      <c r="BF25" s="103">
        <f>'Проверочная  таблица'!NS26+'Проверочная  таблица'!OI26</f>
        <v>0</v>
      </c>
      <c r="BG25" s="103">
        <f>'Проверочная  таблица'!NZ26+'Проверочная  таблица'!OP26</f>
        <v>0</v>
      </c>
      <c r="BH25" s="103">
        <f>'Проверочная  таблица'!NU26</f>
        <v>0</v>
      </c>
      <c r="BI25" s="101">
        <f>'Проверочная  таблица'!OB26</f>
        <v>0</v>
      </c>
      <c r="BJ25" s="104">
        <f>'Проверочная  таблица'!OK26+'Проверочная  таблица'!NW26</f>
        <v>0</v>
      </c>
      <c r="BK25" s="103">
        <f>'Проверочная  таблица'!OR26+'Проверочная  таблица'!OD26</f>
        <v>0</v>
      </c>
      <c r="BL25" s="103">
        <f>'Проверочная  таблица'!PW26+'Проверочная  таблица'!QC26</f>
        <v>0</v>
      </c>
      <c r="BM25" s="101">
        <f>'Проверочная  таблица'!PZ26+'Проверочная  таблица'!QF26</f>
        <v>0</v>
      </c>
      <c r="BN25" s="104">
        <f t="shared" si="4"/>
        <v>11669279.24</v>
      </c>
      <c r="BO25" s="101">
        <f t="shared" si="5"/>
        <v>5754121.21</v>
      </c>
      <c r="BP25" s="104">
        <f>'Проверочная  таблица'!RM26</f>
        <v>1397400</v>
      </c>
      <c r="BQ25" s="101">
        <f>'Проверочная  таблица'!RN26</f>
        <v>957985.5</v>
      </c>
      <c r="BR25" s="100">
        <f>'Проверочная  таблица'!RO26</f>
        <v>4000</v>
      </c>
      <c r="BS25" s="100">
        <f>'Проверочная  таблица'!RP26</f>
        <v>0</v>
      </c>
      <c r="BT25" s="280">
        <f>'Проверочная  таблица'!RQ26</f>
        <v>3223240</v>
      </c>
      <c r="BU25" s="170">
        <f>'Проверочная  таблица'!RR26</f>
        <v>1407852</v>
      </c>
      <c r="BV25" s="172">
        <f>'Проверочная  таблица'!RS26</f>
        <v>0</v>
      </c>
      <c r="BW25" s="170">
        <f>'Проверочная  таблица'!RT26</f>
        <v>0</v>
      </c>
      <c r="BX25" s="172">
        <f>'Проверочная  таблица'!RU26</f>
        <v>0</v>
      </c>
      <c r="BY25" s="280">
        <f>'Проверочная  таблица'!RV26</f>
        <v>0</v>
      </c>
      <c r="BZ25" s="103">
        <f>'Проверочная  таблица'!RY26</f>
        <v>5500448.7300000004</v>
      </c>
      <c r="CA25" s="103">
        <f>'Проверочная  таблица'!SB26</f>
        <v>2566371.79</v>
      </c>
      <c r="CB25" s="103">
        <f>'Проверочная  таблица'!SC26</f>
        <v>364190.51</v>
      </c>
      <c r="CC25" s="101">
        <f>'Проверочная  таблица'!SD26</f>
        <v>0</v>
      </c>
      <c r="CD25" s="104">
        <f>'Проверочная  таблица'!SG26</f>
        <v>1180000</v>
      </c>
      <c r="CE25" s="103">
        <f>'Проверочная  таблица'!SJ26</f>
        <v>821911.92</v>
      </c>
      <c r="CF25" s="103">
        <f t="shared" si="6"/>
        <v>11327400</v>
      </c>
      <c r="CG25" s="101">
        <f t="shared" si="7"/>
        <v>8925720</v>
      </c>
      <c r="CH25" s="104">
        <f>'Проверочная  таблица'!SO26</f>
        <v>11327400</v>
      </c>
      <c r="CI25" s="103">
        <f>'Проверочная  таблица'!SR26</f>
        <v>8925720</v>
      </c>
      <c r="CJ25" s="103">
        <f>'Проверочная  таблица'!ST26</f>
        <v>0</v>
      </c>
      <c r="CK25" s="103">
        <f>'Проверочная  таблица'!SW26</f>
        <v>0</v>
      </c>
      <c r="CL25" s="103">
        <f>'Проверочная  таблица'!SU26</f>
        <v>0</v>
      </c>
      <c r="CM25" s="101">
        <f>'Проверочная  таблица'!SX26</f>
        <v>0</v>
      </c>
      <c r="CN25" s="104">
        <f>'Проверочная  таблица'!SZ26+'Проверочная  таблица'!TD26</f>
        <v>0</v>
      </c>
      <c r="CO25" s="103">
        <f>'Проверочная  таблица'!TB26+'Проверочная  таблица'!TF26</f>
        <v>0</v>
      </c>
      <c r="CP25" s="103">
        <f>'Проверочная  таблица'!TM26+'Проверочная  таблица'!TS26</f>
        <v>0</v>
      </c>
      <c r="CQ25" s="101">
        <f>'Проверочная  таблица'!TP26+'Проверочная  таблица'!TV26</f>
        <v>0</v>
      </c>
      <c r="CR25" s="103">
        <f>'Проверочная  таблица'!UC26</f>
        <v>0</v>
      </c>
      <c r="CS25" s="103">
        <f>'Проверочная  таблица'!UF26</f>
        <v>0</v>
      </c>
      <c r="CT25" s="103">
        <f>'Проверочная  таблица'!UJ26</f>
        <v>0</v>
      </c>
      <c r="CU25" s="101">
        <f>'Проверочная  таблица'!UN26</f>
        <v>0</v>
      </c>
      <c r="CV25" s="104">
        <f>'Проверочная  таблица'!UI26</f>
        <v>0</v>
      </c>
      <c r="CW25" s="101">
        <f>'Проверочная  таблица'!UM26</f>
        <v>0</v>
      </c>
      <c r="CY25" s="937">
        <f t="shared" si="8"/>
        <v>10271.87924</v>
      </c>
      <c r="CZ25" s="937">
        <f t="shared" si="9"/>
        <v>4796.1357099999996</v>
      </c>
    </row>
    <row r="26" spans="1:104" ht="25.5" customHeight="1" x14ac:dyDescent="0.25">
      <c r="A26" s="102" t="s">
        <v>94</v>
      </c>
      <c r="B26" s="103">
        <f t="shared" si="0"/>
        <v>119938494.74000001</v>
      </c>
      <c r="C26" s="103">
        <f t="shared" si="1"/>
        <v>78711763.430000007</v>
      </c>
      <c r="D26" s="278">
        <f t="shared" si="2"/>
        <v>32252899.400000002</v>
      </c>
      <c r="E26" s="278">
        <f t="shared" si="3"/>
        <v>23685211.029999997</v>
      </c>
      <c r="F26" s="101">
        <f>'Проверочная  таблица'!CS27+'Проверочная  таблица'!CU27</f>
        <v>9593742.9600000009</v>
      </c>
      <c r="G26" s="101">
        <f>'Проверочная  таблица'!CT27+'Проверочная  таблица'!CV27</f>
        <v>9081317.5199999996</v>
      </c>
      <c r="H26" s="103">
        <f>'Проверочная  таблица'!DL27</f>
        <v>0</v>
      </c>
      <c r="I26" s="101">
        <f>'Проверочная  таблица'!DP27</f>
        <v>0</v>
      </c>
      <c r="J26" s="104">
        <f>'Проверочная  таблица'!DT27</f>
        <v>0</v>
      </c>
      <c r="K26" s="101">
        <f>'Проверочная  таблица'!EA27</f>
        <v>0</v>
      </c>
      <c r="L26" s="104">
        <f>'Проверочная  таблица'!DV27</f>
        <v>0</v>
      </c>
      <c r="M26" s="103">
        <f>'Проверочная  таблица'!EC27</f>
        <v>0</v>
      </c>
      <c r="N26" s="101">
        <f>'Проверочная  таблица'!EG27</f>
        <v>2685700</v>
      </c>
      <c r="O26" s="103">
        <f>'Проверочная  таблица'!EJ27</f>
        <v>2685699.99</v>
      </c>
      <c r="P26" s="103">
        <f>'Проверочная  таблица'!EM27</f>
        <v>0</v>
      </c>
      <c r="Q26" s="103">
        <f>'Проверочная  таблица'!ET27</f>
        <v>0</v>
      </c>
      <c r="R26" s="103">
        <f>'Проверочная  таблица'!EO27</f>
        <v>0</v>
      </c>
      <c r="S26" s="103">
        <f>'Проверочная  таблица'!EV27</f>
        <v>0</v>
      </c>
      <c r="T26" s="103">
        <f>'Проверочная  таблица'!EQ27</f>
        <v>0</v>
      </c>
      <c r="U26" s="101">
        <f>'Проверочная  таблица'!EX27</f>
        <v>0</v>
      </c>
      <c r="V26" s="104">
        <f>'Проверочная  таблица'!FA27</f>
        <v>0</v>
      </c>
      <c r="W26" s="101">
        <f>'Проверочная  таблица'!FD27</f>
        <v>0</v>
      </c>
      <c r="X26" s="104">
        <f>'Проверочная  таблица'!FG27</f>
        <v>0</v>
      </c>
      <c r="Y26" s="101">
        <f>'Проверочная  таблица'!FJ27</f>
        <v>0</v>
      </c>
      <c r="Z26" s="104">
        <f>'Проверочная  таблица'!FM27</f>
        <v>0</v>
      </c>
      <c r="AA26" s="103">
        <f>'Проверочная  таблица'!FP27</f>
        <v>0</v>
      </c>
      <c r="AB26" s="103">
        <f>'Проверочная  таблица'!FS27+'Проверочная  таблица'!FY27</f>
        <v>0</v>
      </c>
      <c r="AC26" s="103">
        <f>'Проверочная  таблица'!FV27+'Проверочная  таблица'!GB27</f>
        <v>0</v>
      </c>
      <c r="AD26" s="103">
        <f>'Проверочная  таблица'!GI27</f>
        <v>0</v>
      </c>
      <c r="AE26" s="103">
        <f>'Проверочная  таблица'!GL27</f>
        <v>0</v>
      </c>
      <c r="AF26" s="103">
        <f>'Проверочная  таблица'!MK27</f>
        <v>0</v>
      </c>
      <c r="AG26" s="101">
        <f>'Проверочная  таблица'!MP27</f>
        <v>0</v>
      </c>
      <c r="AH26" s="104">
        <f>'Проверочная  таблица'!GO27+'Проверочная  таблица'!GU27</f>
        <v>0</v>
      </c>
      <c r="AI26" s="103">
        <f>'Проверочная  таблица'!GR27+'Проверочная  таблица'!GX27</f>
        <v>0</v>
      </c>
      <c r="AJ26" s="103">
        <f>'Проверочная  таблица'!HM27</f>
        <v>0</v>
      </c>
      <c r="AK26" s="101">
        <f>'Проверочная  таблица'!HP27</f>
        <v>0</v>
      </c>
      <c r="AL26" s="104">
        <f>'Проверочная  таблица'!HS27+'Проверочная  таблица'!HY27</f>
        <v>2550408.7999999998</v>
      </c>
      <c r="AM26" s="103">
        <f>'Проверочная  таблица'!HV27+'Проверочная  таблица'!IB27</f>
        <v>2550408.7999999998</v>
      </c>
      <c r="AN26" s="103">
        <f>'Проверочная  таблица'!IU27+'Проверочная  таблица'!JO27</f>
        <v>0</v>
      </c>
      <c r="AO26" s="103">
        <f>'Проверочная  таблица'!JT27+'Проверочная  таблица'!JE27</f>
        <v>0</v>
      </c>
      <c r="AP26" s="103">
        <f>'Проверочная  таблица'!IY27</f>
        <v>0</v>
      </c>
      <c r="AQ26" s="103">
        <f>'Проверочная  таблица'!JI27</f>
        <v>0</v>
      </c>
      <c r="AR26" s="103">
        <f>'Проверочная  таблица'!IW27</f>
        <v>0</v>
      </c>
      <c r="AS26" s="101">
        <f>'Проверочная  таблица'!JG27</f>
        <v>0</v>
      </c>
      <c r="AT26" s="103">
        <f>'Проверочная  таблица'!IS27+'Проверочная  таблица'!JM27</f>
        <v>0</v>
      </c>
      <c r="AU26" s="101">
        <f>'Проверочная  таблица'!JC27+'Проверочная  таблица'!JR27</f>
        <v>0</v>
      </c>
      <c r="AV26" s="104">
        <f>'Проверочная  таблица'!KQ27</f>
        <v>0</v>
      </c>
      <c r="AW26" s="103">
        <f>'Проверочная  таблица'!KU27</f>
        <v>0</v>
      </c>
      <c r="AX26" s="103">
        <f>'Проверочная  таблица'!LC27+'Проверочная  таблица'!LK27</f>
        <v>16530000</v>
      </c>
      <c r="AY26" s="101">
        <f>'Проверочная  таблица'!LG27+'Проверочная  таблица'!LO27</f>
        <v>8900552.9100000001</v>
      </c>
      <c r="AZ26" s="103">
        <f>'Проверочная  таблица'!MI27</f>
        <v>893047.64</v>
      </c>
      <c r="BA26" s="101">
        <f>'Проверочная  таблица'!MN27</f>
        <v>467231.81</v>
      </c>
      <c r="BB26" s="100">
        <f>'Проверочная  таблица'!NM27</f>
        <v>0</v>
      </c>
      <c r="BC26" s="101">
        <f>'Проверочная  таблица'!NP27</f>
        <v>0</v>
      </c>
      <c r="BD26" s="103">
        <f>'Проверочная  таблица'!OG27</f>
        <v>0</v>
      </c>
      <c r="BE26" s="101">
        <f>'Проверочная  таблица'!ON27</f>
        <v>0</v>
      </c>
      <c r="BF26" s="103">
        <f>'Проверочная  таблица'!NS27+'Проверочная  таблица'!OI27</f>
        <v>0</v>
      </c>
      <c r="BG26" s="103">
        <f>'Проверочная  таблица'!NZ27+'Проверочная  таблица'!OP27</f>
        <v>0</v>
      </c>
      <c r="BH26" s="103">
        <f>'Проверочная  таблица'!NU27</f>
        <v>0</v>
      </c>
      <c r="BI26" s="101">
        <f>'Проверочная  таблица'!OB27</f>
        <v>0</v>
      </c>
      <c r="BJ26" s="104">
        <f>'Проверочная  таблица'!OK27+'Проверочная  таблица'!NW27</f>
        <v>0</v>
      </c>
      <c r="BK26" s="103">
        <f>'Проверочная  таблица'!OR27+'Проверочная  таблица'!OD27</f>
        <v>0</v>
      </c>
      <c r="BL26" s="103">
        <f>'Проверочная  таблица'!PW27+'Проверочная  таблица'!QC27</f>
        <v>0</v>
      </c>
      <c r="BM26" s="101">
        <f>'Проверочная  таблица'!PZ27+'Проверочная  таблица'!QF27</f>
        <v>0</v>
      </c>
      <c r="BN26" s="104">
        <f t="shared" si="4"/>
        <v>19405515.34</v>
      </c>
      <c r="BO26" s="101">
        <f t="shared" si="5"/>
        <v>11320350.09</v>
      </c>
      <c r="BP26" s="104">
        <f>'Проверочная  таблица'!RM27</f>
        <v>2697300</v>
      </c>
      <c r="BQ26" s="101">
        <f>'Проверочная  таблица'!RN27</f>
        <v>2022975</v>
      </c>
      <c r="BR26" s="100">
        <f>'Проверочная  таблица'!RO27</f>
        <v>5000</v>
      </c>
      <c r="BS26" s="100">
        <f>'Проверочная  таблица'!RP27</f>
        <v>289.5</v>
      </c>
      <c r="BT26" s="280">
        <f>'Проверочная  таблица'!RQ27</f>
        <v>1611620</v>
      </c>
      <c r="BU26" s="170">
        <f>'Проверочная  таблица'!RR27</f>
        <v>1407852</v>
      </c>
      <c r="BV26" s="172">
        <f>'Проверочная  таблица'!RS27</f>
        <v>0</v>
      </c>
      <c r="BW26" s="170">
        <f>'Проверочная  таблица'!RT27</f>
        <v>0</v>
      </c>
      <c r="BX26" s="172">
        <f>'Проверочная  таблица'!RU27</f>
        <v>0</v>
      </c>
      <c r="BY26" s="280">
        <f>'Проверочная  таблица'!RV27</f>
        <v>0</v>
      </c>
      <c r="BZ26" s="103">
        <f>'Проверочная  таблица'!RY27</f>
        <v>12634948.890000001</v>
      </c>
      <c r="CA26" s="103">
        <f>'Проверочная  таблица'!SB27</f>
        <v>6432775.6500000004</v>
      </c>
      <c r="CB26" s="103">
        <f>'Проверочная  таблица'!SC27</f>
        <v>766646.45</v>
      </c>
      <c r="CC26" s="101">
        <f>'Проверочная  таблица'!SD27</f>
        <v>0</v>
      </c>
      <c r="CD26" s="104">
        <f>'Проверочная  таблица'!SG27</f>
        <v>1690000</v>
      </c>
      <c r="CE26" s="103">
        <f>'Проверочная  таблица'!SJ27</f>
        <v>1456457.94</v>
      </c>
      <c r="CF26" s="103">
        <f t="shared" si="6"/>
        <v>68280080</v>
      </c>
      <c r="CG26" s="101">
        <f t="shared" si="7"/>
        <v>43706202.310000002</v>
      </c>
      <c r="CH26" s="104">
        <f>'Проверочная  таблица'!SO27</f>
        <v>18280080</v>
      </c>
      <c r="CI26" s="103">
        <f>'Проверочная  таблица'!SR27</f>
        <v>13993131.83</v>
      </c>
      <c r="CJ26" s="103">
        <f>'Проверочная  таблица'!ST27</f>
        <v>0</v>
      </c>
      <c r="CK26" s="103">
        <f>'Проверочная  таблица'!SW27</f>
        <v>0</v>
      </c>
      <c r="CL26" s="103">
        <f>'Проверочная  таблица'!SU27</f>
        <v>0</v>
      </c>
      <c r="CM26" s="101">
        <f>'Проверочная  таблица'!SX27</f>
        <v>0</v>
      </c>
      <c r="CN26" s="104">
        <f>'Проверочная  таблица'!SZ27+'Проверочная  таблица'!TD27</f>
        <v>0</v>
      </c>
      <c r="CO26" s="103">
        <f>'Проверочная  таблица'!TB27+'Проверочная  таблица'!TF27</f>
        <v>0</v>
      </c>
      <c r="CP26" s="103">
        <f>'Проверочная  таблица'!TM27+'Проверочная  таблица'!TS27</f>
        <v>50000000</v>
      </c>
      <c r="CQ26" s="101">
        <f>'Проверочная  таблица'!TP27+'Проверочная  таблица'!TV27</f>
        <v>29713070.48</v>
      </c>
      <c r="CR26" s="103">
        <f>'Проверочная  таблица'!UC27</f>
        <v>0</v>
      </c>
      <c r="CS26" s="103">
        <f>'Проверочная  таблица'!UF27</f>
        <v>0</v>
      </c>
      <c r="CT26" s="103">
        <f>'Проверочная  таблица'!UJ27</f>
        <v>0</v>
      </c>
      <c r="CU26" s="101">
        <f>'Проверочная  таблица'!UN27</f>
        <v>0</v>
      </c>
      <c r="CV26" s="104">
        <f>'Проверочная  таблица'!UI27</f>
        <v>0</v>
      </c>
      <c r="CW26" s="101">
        <f>'Проверочная  таблица'!UM27</f>
        <v>0</v>
      </c>
      <c r="CY26" s="937">
        <f t="shared" si="8"/>
        <v>16708.215339999999</v>
      </c>
      <c r="CZ26" s="937">
        <f t="shared" si="9"/>
        <v>9297.3750899999995</v>
      </c>
    </row>
    <row r="27" spans="1:104" ht="25.5" customHeight="1" x14ac:dyDescent="0.25">
      <c r="A27" s="102" t="s">
        <v>95</v>
      </c>
      <c r="B27" s="103">
        <f t="shared" si="0"/>
        <v>257793019.61000001</v>
      </c>
      <c r="C27" s="103">
        <f t="shared" si="1"/>
        <v>97817650.209999993</v>
      </c>
      <c r="D27" s="278">
        <f t="shared" si="2"/>
        <v>239780281.24000001</v>
      </c>
      <c r="E27" s="278">
        <f t="shared" si="3"/>
        <v>86663776.25999999</v>
      </c>
      <c r="F27" s="101">
        <f>'Проверочная  таблица'!CS28+'Проверочная  таблица'!CU28</f>
        <v>0</v>
      </c>
      <c r="G27" s="101">
        <f>'Проверочная  таблица'!CT28+'Проверочная  таблица'!CV28</f>
        <v>0</v>
      </c>
      <c r="H27" s="103">
        <f>'Проверочная  таблица'!DL28</f>
        <v>220019347.06</v>
      </c>
      <c r="I27" s="101">
        <f>'Проверочная  таблица'!DP28</f>
        <v>73300877.640000001</v>
      </c>
      <c r="J27" s="104">
        <f>'Проверочная  таблица'!DT28</f>
        <v>0</v>
      </c>
      <c r="K27" s="101">
        <f>'Проверочная  таблица'!EA28</f>
        <v>0</v>
      </c>
      <c r="L27" s="104">
        <f>'Проверочная  таблица'!DV28</f>
        <v>0</v>
      </c>
      <c r="M27" s="103">
        <f>'Проверочная  таблица'!EC28</f>
        <v>0</v>
      </c>
      <c r="N27" s="101">
        <f>'Проверочная  таблица'!EG28</f>
        <v>0</v>
      </c>
      <c r="O27" s="103">
        <f>'Проверочная  таблица'!EJ28</f>
        <v>0</v>
      </c>
      <c r="P27" s="103">
        <f>'Проверочная  таблица'!EM28</f>
        <v>0</v>
      </c>
      <c r="Q27" s="103">
        <f>'Проверочная  таблица'!ET28</f>
        <v>0</v>
      </c>
      <c r="R27" s="103">
        <f>'Проверочная  таблица'!EO28</f>
        <v>0</v>
      </c>
      <c r="S27" s="103">
        <f>'Проверочная  таблица'!EV28</f>
        <v>0</v>
      </c>
      <c r="T27" s="103">
        <f>'Проверочная  таблица'!EQ28</f>
        <v>0</v>
      </c>
      <c r="U27" s="101">
        <f>'Проверочная  таблица'!EX28</f>
        <v>0</v>
      </c>
      <c r="V27" s="104">
        <f>'Проверочная  таблица'!FA28</f>
        <v>0</v>
      </c>
      <c r="W27" s="101">
        <f>'Проверочная  таблица'!FD28</f>
        <v>0</v>
      </c>
      <c r="X27" s="104">
        <f>'Проверочная  таблица'!FG28</f>
        <v>0</v>
      </c>
      <c r="Y27" s="101">
        <f>'Проверочная  таблица'!FJ28</f>
        <v>0</v>
      </c>
      <c r="Z27" s="104">
        <f>'Проверочная  таблица'!FM28</f>
        <v>0</v>
      </c>
      <c r="AA27" s="103">
        <f>'Проверочная  таблица'!FP28</f>
        <v>0</v>
      </c>
      <c r="AB27" s="103">
        <f>'Проверочная  таблица'!FS28+'Проверочная  таблица'!FY28</f>
        <v>0</v>
      </c>
      <c r="AC27" s="103">
        <f>'Проверочная  таблица'!FV28+'Проверочная  таблица'!GB28</f>
        <v>0</v>
      </c>
      <c r="AD27" s="103">
        <f>'Проверочная  таблица'!GI28</f>
        <v>0</v>
      </c>
      <c r="AE27" s="103">
        <f>'Проверочная  таблица'!GL28</f>
        <v>0</v>
      </c>
      <c r="AF27" s="103">
        <f>'Проверочная  таблица'!MK28</f>
        <v>0</v>
      </c>
      <c r="AG27" s="101">
        <f>'Проверочная  таблица'!MP28</f>
        <v>0</v>
      </c>
      <c r="AH27" s="104">
        <f>'Проверочная  таблица'!GO28+'Проверочная  таблица'!GU28</f>
        <v>268269.73</v>
      </c>
      <c r="AI27" s="103">
        <f>'Проверочная  таблица'!GR28+'Проверочная  таблица'!GX28</f>
        <v>268269.73</v>
      </c>
      <c r="AJ27" s="103">
        <f>'Проверочная  таблица'!HM28</f>
        <v>0</v>
      </c>
      <c r="AK27" s="101">
        <f>'Проверочная  таблица'!HP28</f>
        <v>0</v>
      </c>
      <c r="AL27" s="104">
        <f>'Проверочная  таблица'!HS28+'Проверочная  таблица'!HY28</f>
        <v>431468.85</v>
      </c>
      <c r="AM27" s="103">
        <f>'Проверочная  таблица'!HV28+'Проверочная  таблица'!IB28</f>
        <v>431468.85</v>
      </c>
      <c r="AN27" s="103">
        <f>'Проверочная  таблица'!IU28+'Проверочная  таблица'!JO28</f>
        <v>0</v>
      </c>
      <c r="AO27" s="103">
        <f>'Проверочная  таблица'!JT28+'Проверочная  таблица'!JE28</f>
        <v>0</v>
      </c>
      <c r="AP27" s="103">
        <f>'Проверочная  таблица'!IY28</f>
        <v>5000387.37</v>
      </c>
      <c r="AQ27" s="103">
        <f>'Проверочная  таблица'!JI28</f>
        <v>4963193.2699999996</v>
      </c>
      <c r="AR27" s="103">
        <f>'Проверочная  таблица'!IW28</f>
        <v>7317048.8200000003</v>
      </c>
      <c r="AS27" s="101">
        <f>'Проверочная  таблица'!JG28</f>
        <v>957512.79</v>
      </c>
      <c r="AT27" s="103">
        <f>'Проверочная  таблица'!IS28+'Проверочная  таблица'!JM28</f>
        <v>0</v>
      </c>
      <c r="AU27" s="101">
        <f>'Проверочная  таблица'!JC28+'Проверочная  таблица'!JR28</f>
        <v>0</v>
      </c>
      <c r="AV27" s="104">
        <f>'Проверочная  таблица'!KQ28</f>
        <v>0</v>
      </c>
      <c r="AW27" s="103">
        <f>'Проверочная  таблица'!KU28</f>
        <v>0</v>
      </c>
      <c r="AX27" s="103">
        <f>'Проверочная  таблица'!LC28+'Проверочная  таблица'!LK28</f>
        <v>0</v>
      </c>
      <c r="AY27" s="101">
        <f>'Проверочная  таблица'!LG28+'Проверочная  таблица'!LO28</f>
        <v>0</v>
      </c>
      <c r="AZ27" s="103">
        <f>'Проверочная  таблица'!MI28</f>
        <v>465741.41</v>
      </c>
      <c r="BA27" s="101">
        <f>'Проверочная  таблица'!MN28</f>
        <v>464435.99</v>
      </c>
      <c r="BB27" s="100">
        <f>'Проверочная  таблица'!NM28</f>
        <v>0</v>
      </c>
      <c r="BC27" s="101">
        <f>'Проверочная  таблица'!NP28</f>
        <v>0</v>
      </c>
      <c r="BD27" s="103">
        <f>'Проверочная  таблица'!OG28</f>
        <v>0</v>
      </c>
      <c r="BE27" s="101">
        <f>'Проверочная  таблица'!ON28</f>
        <v>0</v>
      </c>
      <c r="BF27" s="103">
        <f>'Проверочная  таблица'!NS28+'Проверочная  таблица'!OI28</f>
        <v>0</v>
      </c>
      <c r="BG27" s="103">
        <f>'Проверочная  таблица'!NZ28+'Проверочная  таблица'!OP28</f>
        <v>0</v>
      </c>
      <c r="BH27" s="103">
        <f>'Проверочная  таблица'!NU28</f>
        <v>0</v>
      </c>
      <c r="BI27" s="101">
        <f>'Проверочная  таблица'!OB28</f>
        <v>0</v>
      </c>
      <c r="BJ27" s="104">
        <f>'Проверочная  таблица'!OK28+'Проверочная  таблица'!NW28</f>
        <v>6278018</v>
      </c>
      <c r="BK27" s="103">
        <f>'Проверочная  таблица'!OR28+'Проверочная  таблица'!OD28</f>
        <v>6278017.9900000002</v>
      </c>
      <c r="BL27" s="103">
        <f>'Проверочная  таблица'!PW28+'Проверочная  таблица'!QC28</f>
        <v>0</v>
      </c>
      <c r="BM27" s="101">
        <f>'Проверочная  таблица'!PZ28+'Проверочная  таблица'!QF28</f>
        <v>0</v>
      </c>
      <c r="BN27" s="104">
        <f t="shared" si="4"/>
        <v>7857138.3699999992</v>
      </c>
      <c r="BO27" s="101">
        <f t="shared" si="5"/>
        <v>3860895.6500000004</v>
      </c>
      <c r="BP27" s="104">
        <f>'Проверочная  таблица'!RM28</f>
        <v>1509000</v>
      </c>
      <c r="BQ27" s="101">
        <f>'Проверочная  таблица'!RN28</f>
        <v>952132.49000000011</v>
      </c>
      <c r="BR27" s="100">
        <f>'Проверочная  таблица'!RO28</f>
        <v>0</v>
      </c>
      <c r="BS27" s="100">
        <f>'Проверочная  таблица'!RP28</f>
        <v>0</v>
      </c>
      <c r="BT27" s="280">
        <f>'Проверочная  таблица'!RQ28</f>
        <v>0</v>
      </c>
      <c r="BU27" s="170">
        <f>'Проверочная  таблица'!RR28</f>
        <v>0</v>
      </c>
      <c r="BV27" s="172">
        <f>'Проверочная  таблица'!RS28</f>
        <v>0</v>
      </c>
      <c r="BW27" s="170">
        <f>'Проверочная  таблица'!RT28</f>
        <v>0</v>
      </c>
      <c r="BX27" s="172">
        <f>'Проверочная  таблица'!RU28</f>
        <v>0</v>
      </c>
      <c r="BY27" s="280">
        <f>'Проверочная  таблица'!RV28</f>
        <v>0</v>
      </c>
      <c r="BZ27" s="103">
        <f>'Проверочная  таблица'!RY28</f>
        <v>4844254.8499999996</v>
      </c>
      <c r="CA27" s="103">
        <f>'Проверочная  таблица'!SB28</f>
        <v>1786147.91</v>
      </c>
      <c r="CB27" s="103">
        <f>'Проверочная  таблица'!SC28</f>
        <v>313883.51999999996</v>
      </c>
      <c r="CC27" s="101">
        <f>'Проверочная  таблица'!SD28</f>
        <v>0</v>
      </c>
      <c r="CD27" s="104">
        <f>'Проверочная  таблица'!SG28</f>
        <v>1190000</v>
      </c>
      <c r="CE27" s="103">
        <f>'Проверочная  таблица'!SJ28</f>
        <v>1122615.25</v>
      </c>
      <c r="CF27" s="103">
        <f t="shared" si="6"/>
        <v>10155600</v>
      </c>
      <c r="CG27" s="101">
        <f t="shared" si="7"/>
        <v>7292978.2999999998</v>
      </c>
      <c r="CH27" s="104">
        <f>'Проверочная  таблица'!SO28</f>
        <v>10155600</v>
      </c>
      <c r="CI27" s="103">
        <f>'Проверочная  таблица'!SR28</f>
        <v>7292978.2999999998</v>
      </c>
      <c r="CJ27" s="103">
        <f>'Проверочная  таблица'!ST28</f>
        <v>0</v>
      </c>
      <c r="CK27" s="103">
        <f>'Проверочная  таблица'!SW28</f>
        <v>0</v>
      </c>
      <c r="CL27" s="103">
        <f>'Проверочная  таблица'!SU28</f>
        <v>0</v>
      </c>
      <c r="CM27" s="101">
        <f>'Проверочная  таблица'!SX28</f>
        <v>0</v>
      </c>
      <c r="CN27" s="104">
        <f>'Проверочная  таблица'!SZ28+'Проверочная  таблица'!TD28</f>
        <v>0</v>
      </c>
      <c r="CO27" s="103">
        <f>'Проверочная  таблица'!TB28+'Проверочная  таблица'!TF28</f>
        <v>0</v>
      </c>
      <c r="CP27" s="103">
        <f>'Проверочная  таблица'!TM28+'Проверочная  таблица'!TS28</f>
        <v>0</v>
      </c>
      <c r="CQ27" s="101">
        <f>'Проверочная  таблица'!TP28+'Проверочная  таблица'!TV28</f>
        <v>0</v>
      </c>
      <c r="CR27" s="103">
        <f>'Проверочная  таблица'!UC28</f>
        <v>0</v>
      </c>
      <c r="CS27" s="103">
        <f>'Проверочная  таблица'!UF28</f>
        <v>0</v>
      </c>
      <c r="CT27" s="103">
        <f>'Проверочная  таблица'!UJ28</f>
        <v>0</v>
      </c>
      <c r="CU27" s="101">
        <f>'Проверочная  таблица'!UN28</f>
        <v>0</v>
      </c>
      <c r="CV27" s="104">
        <f>'Проверочная  таблица'!UI28</f>
        <v>0</v>
      </c>
      <c r="CW27" s="101">
        <f>'Проверочная  таблица'!UM28</f>
        <v>0</v>
      </c>
      <c r="CY27" s="937">
        <f t="shared" si="8"/>
        <v>6348.1383699999988</v>
      </c>
      <c r="CZ27" s="937">
        <f t="shared" si="9"/>
        <v>2908.76316</v>
      </c>
    </row>
    <row r="28" spans="1:104" ht="25.5" customHeight="1" thickBot="1" x14ac:dyDescent="0.3">
      <c r="A28" s="106" t="s">
        <v>96</v>
      </c>
      <c r="B28" s="108">
        <f t="shared" si="0"/>
        <v>66411930.879999995</v>
      </c>
      <c r="C28" s="1160">
        <f t="shared" si="1"/>
        <v>27807941.07</v>
      </c>
      <c r="D28" s="278">
        <f t="shared" si="2"/>
        <v>37287553.049999997</v>
      </c>
      <c r="E28" s="278">
        <f t="shared" si="3"/>
        <v>10381897.76</v>
      </c>
      <c r="F28" s="107">
        <f>'Проверочная  таблица'!CS29+'Проверочная  таблица'!CU29</f>
        <v>0</v>
      </c>
      <c r="G28" s="107">
        <f>'Проверочная  таблица'!CT29+'Проверочная  таблица'!CV29</f>
        <v>0</v>
      </c>
      <c r="H28" s="108">
        <f>'Проверочная  таблица'!DL29</f>
        <v>0</v>
      </c>
      <c r="I28" s="107">
        <f>'Проверочная  таблица'!DP29</f>
        <v>0</v>
      </c>
      <c r="J28" s="109">
        <f>'Проверочная  таблица'!DT29</f>
        <v>0</v>
      </c>
      <c r="K28" s="107">
        <f>'Проверочная  таблица'!EA29</f>
        <v>0</v>
      </c>
      <c r="L28" s="109">
        <f>'Проверочная  таблица'!DV29</f>
        <v>0</v>
      </c>
      <c r="M28" s="108">
        <f>'Проверочная  таблица'!EC29</f>
        <v>0</v>
      </c>
      <c r="N28" s="107">
        <f>'Проверочная  таблица'!EG29</f>
        <v>0</v>
      </c>
      <c r="O28" s="108">
        <f>'Проверочная  таблица'!EJ29</f>
        <v>0</v>
      </c>
      <c r="P28" s="108">
        <f>'Проверочная  таблица'!EM29</f>
        <v>0</v>
      </c>
      <c r="Q28" s="108">
        <f>'Проверочная  таблица'!ET29</f>
        <v>0</v>
      </c>
      <c r="R28" s="108">
        <f>'Проверочная  таблица'!EO29</f>
        <v>0</v>
      </c>
      <c r="S28" s="108">
        <f>'Проверочная  таблица'!EV29</f>
        <v>0</v>
      </c>
      <c r="T28" s="108">
        <f>'Проверочная  таблица'!EQ29</f>
        <v>0</v>
      </c>
      <c r="U28" s="107">
        <f>'Проверочная  таблица'!EX29</f>
        <v>0</v>
      </c>
      <c r="V28" s="109">
        <f>'Проверочная  таблица'!FA29</f>
        <v>0</v>
      </c>
      <c r="W28" s="107">
        <f>'Проверочная  таблица'!FD29</f>
        <v>0</v>
      </c>
      <c r="X28" s="109">
        <f>'Проверочная  таблица'!FG29</f>
        <v>0</v>
      </c>
      <c r="Y28" s="107">
        <f>'Проверочная  таблица'!FJ29</f>
        <v>0</v>
      </c>
      <c r="Z28" s="109">
        <f>'Проверочная  таблица'!FM29</f>
        <v>0</v>
      </c>
      <c r="AA28" s="108">
        <f>'Проверочная  таблица'!FP29</f>
        <v>0</v>
      </c>
      <c r="AB28" s="108">
        <f>'Проверочная  таблица'!FS29+'Проверочная  таблица'!FY29</f>
        <v>0</v>
      </c>
      <c r="AC28" s="108">
        <f>'Проверочная  таблица'!FV29+'Проверочная  таблица'!GB29</f>
        <v>0</v>
      </c>
      <c r="AD28" s="108">
        <f>'Проверочная  таблица'!GI29</f>
        <v>0</v>
      </c>
      <c r="AE28" s="108">
        <f>'Проверочная  таблица'!GL29</f>
        <v>0</v>
      </c>
      <c r="AF28" s="108">
        <f>'Проверочная  таблица'!MK29</f>
        <v>0</v>
      </c>
      <c r="AG28" s="107">
        <f>'Проверочная  таблица'!MP29</f>
        <v>0</v>
      </c>
      <c r="AH28" s="109">
        <f>'Проверочная  таблица'!GO29+'Проверочная  таблица'!GU29</f>
        <v>0</v>
      </c>
      <c r="AI28" s="108">
        <f>'Проверочная  таблица'!GR29+'Проверочная  таблица'!GX29</f>
        <v>0</v>
      </c>
      <c r="AJ28" s="108">
        <f>'Проверочная  таблица'!HM29</f>
        <v>0</v>
      </c>
      <c r="AK28" s="107">
        <f>'Проверочная  таблица'!HP29</f>
        <v>0</v>
      </c>
      <c r="AL28" s="109">
        <f>'Проверочная  таблица'!HS29+'Проверочная  таблица'!HY29</f>
        <v>1006325.96</v>
      </c>
      <c r="AM28" s="108">
        <f>'Проверочная  таблица'!HV29+'Проверочная  таблица'!IB29</f>
        <v>343088.54</v>
      </c>
      <c r="AN28" s="108">
        <f>'Проверочная  таблица'!IU29+'Проверочная  таблица'!JO29</f>
        <v>0</v>
      </c>
      <c r="AO28" s="108">
        <f>'Проверочная  таблица'!JT29+'Проверочная  таблица'!JE29</f>
        <v>0</v>
      </c>
      <c r="AP28" s="108">
        <f>'Проверочная  таблица'!IY29</f>
        <v>0</v>
      </c>
      <c r="AQ28" s="108">
        <f>'Проверочная  таблица'!JI29</f>
        <v>0</v>
      </c>
      <c r="AR28" s="108">
        <f>'Проверочная  таблица'!IW29</f>
        <v>0</v>
      </c>
      <c r="AS28" s="107">
        <f>'Проверочная  таблица'!JG29</f>
        <v>0</v>
      </c>
      <c r="AT28" s="108">
        <f>'Проверочная  таблица'!IS29+'Проверочная  таблица'!JM29</f>
        <v>0</v>
      </c>
      <c r="AU28" s="107">
        <f>'Проверочная  таблица'!JC29+'Проверочная  таблица'!JR29</f>
        <v>0</v>
      </c>
      <c r="AV28" s="109">
        <f>'Проверочная  таблица'!KQ29</f>
        <v>0</v>
      </c>
      <c r="AW28" s="108">
        <f>'Проверочная  таблица'!KU29</f>
        <v>0</v>
      </c>
      <c r="AX28" s="108">
        <f>'Проверочная  таблица'!LC29+'Проверочная  таблица'!LK29</f>
        <v>14491482.17</v>
      </c>
      <c r="AY28" s="107">
        <f>'Проверочная  таблица'!LG29+'Проверочная  таблица'!LO29</f>
        <v>9503900.4900000002</v>
      </c>
      <c r="AZ28" s="108">
        <f>'Проверочная  таблица'!MI29</f>
        <v>793694.92</v>
      </c>
      <c r="BA28" s="107">
        <f>'Проверочная  таблица'!MN29</f>
        <v>534908.73</v>
      </c>
      <c r="BB28" s="1146">
        <f>'Проверочная  таблица'!NM29</f>
        <v>0</v>
      </c>
      <c r="BC28" s="1038">
        <f>'Проверочная  таблица'!NP29</f>
        <v>0</v>
      </c>
      <c r="BD28" s="108">
        <f>'Проверочная  таблица'!OG29</f>
        <v>0</v>
      </c>
      <c r="BE28" s="107">
        <f>'Проверочная  таблица'!ON29</f>
        <v>0</v>
      </c>
      <c r="BF28" s="108">
        <f>'Проверочная  таблица'!NS29+'Проверочная  таблица'!OI29</f>
        <v>0</v>
      </c>
      <c r="BG28" s="108">
        <f>'Проверочная  таблица'!NZ29+'Проверочная  таблица'!OP29</f>
        <v>0</v>
      </c>
      <c r="BH28" s="108">
        <f>'Проверочная  таблица'!NU29</f>
        <v>0</v>
      </c>
      <c r="BI28" s="107">
        <f>'Проверочная  таблица'!OB29</f>
        <v>0</v>
      </c>
      <c r="BJ28" s="109">
        <f>'Проверочная  таблица'!OK29+'Проверочная  таблица'!NW29</f>
        <v>0</v>
      </c>
      <c r="BK28" s="108">
        <f>'Проверочная  таблица'!OR29+'Проверочная  таблица'!OD29</f>
        <v>0</v>
      </c>
      <c r="BL28" s="108">
        <f>'Проверочная  таблица'!PW29+'Проверочная  таблица'!QC29</f>
        <v>20996050</v>
      </c>
      <c r="BM28" s="107">
        <f>'Проверочная  таблица'!PZ29+'Проверочная  таблица'!QF29</f>
        <v>0</v>
      </c>
      <c r="BN28" s="109">
        <f t="shared" si="4"/>
        <v>12406697.83</v>
      </c>
      <c r="BO28" s="107">
        <f t="shared" si="5"/>
        <v>5915380.2199999997</v>
      </c>
      <c r="BP28" s="109">
        <f>'Проверочная  таблица'!RM29</f>
        <v>2088000</v>
      </c>
      <c r="BQ28" s="107">
        <f>'Проверочная  таблица'!RN29</f>
        <v>1310692.8299999998</v>
      </c>
      <c r="BR28" s="100">
        <f>'Проверочная  таблица'!RO29</f>
        <v>2000</v>
      </c>
      <c r="BS28" s="100">
        <f>'Проверочная  таблица'!RP29</f>
        <v>0</v>
      </c>
      <c r="BT28" s="281">
        <f>'Проверочная  таблица'!RQ29</f>
        <v>0</v>
      </c>
      <c r="BU28" s="458">
        <f>'Проверочная  таблица'!RR29</f>
        <v>0</v>
      </c>
      <c r="BV28" s="173">
        <f>'Проверочная  таблица'!RS29</f>
        <v>0</v>
      </c>
      <c r="BW28" s="458">
        <f>'Проверочная  таблица'!RT29</f>
        <v>0</v>
      </c>
      <c r="BX28" s="173">
        <f>'Проверочная  таблица'!RU29</f>
        <v>0</v>
      </c>
      <c r="BY28" s="281">
        <f>'Проверочная  таблица'!RV29</f>
        <v>0</v>
      </c>
      <c r="BZ28" s="108">
        <f>'Проверочная  таблица'!RY29</f>
        <v>7867893.3300000001</v>
      </c>
      <c r="CA28" s="108">
        <f>'Проверочная  таблица'!SB29</f>
        <v>3176323.95</v>
      </c>
      <c r="CB28" s="108">
        <f>'Проверочная  таблица'!SC29</f>
        <v>464804.5</v>
      </c>
      <c r="CC28" s="107">
        <f>'Проверочная  таблица'!SD29</f>
        <v>0</v>
      </c>
      <c r="CD28" s="109">
        <f>'Проверочная  таблица'!SG29</f>
        <v>1984000</v>
      </c>
      <c r="CE28" s="108">
        <f>'Проверочная  таблица'!SJ29</f>
        <v>1428363.44</v>
      </c>
      <c r="CF28" s="108">
        <f t="shared" si="6"/>
        <v>16717680</v>
      </c>
      <c r="CG28" s="107">
        <f t="shared" si="7"/>
        <v>11510663.09</v>
      </c>
      <c r="CH28" s="109">
        <f>'Проверочная  таблица'!SO29</f>
        <v>16717680</v>
      </c>
      <c r="CI28" s="108">
        <f>'Проверочная  таблица'!SR29</f>
        <v>11510663.09</v>
      </c>
      <c r="CJ28" s="108">
        <f>'Проверочная  таблица'!ST29</f>
        <v>0</v>
      </c>
      <c r="CK28" s="108">
        <f>'Проверочная  таблица'!SW29</f>
        <v>0</v>
      </c>
      <c r="CL28" s="108">
        <f>'Проверочная  таблица'!SU29</f>
        <v>0</v>
      </c>
      <c r="CM28" s="107">
        <f>'Проверочная  таблица'!SX29</f>
        <v>0</v>
      </c>
      <c r="CN28" s="109">
        <f>'Проверочная  таблица'!SZ29+'Проверочная  таблица'!TD29</f>
        <v>0</v>
      </c>
      <c r="CO28" s="1160">
        <f>'Проверочная  таблица'!TB29+'Проверочная  таблица'!TF29</f>
        <v>0</v>
      </c>
      <c r="CP28" s="1160">
        <f>'Проверочная  таблица'!TM29+'Проверочная  таблица'!TS29</f>
        <v>0</v>
      </c>
      <c r="CQ28" s="1038">
        <f>'Проверочная  таблица'!TP29+'Проверочная  таблица'!TV29</f>
        <v>0</v>
      </c>
      <c r="CR28" s="108">
        <f>'Проверочная  таблица'!UC29</f>
        <v>0</v>
      </c>
      <c r="CS28" s="108">
        <f>'Проверочная  таблица'!UF29</f>
        <v>0</v>
      </c>
      <c r="CT28" s="108">
        <f>'Проверочная  таблица'!UJ29</f>
        <v>0</v>
      </c>
      <c r="CU28" s="107">
        <f>'Проверочная  таблица'!UN29</f>
        <v>0</v>
      </c>
      <c r="CV28" s="109">
        <f>'Проверочная  таблица'!UI29</f>
        <v>0</v>
      </c>
      <c r="CW28" s="107">
        <f>'Проверочная  таблица'!UM29</f>
        <v>0</v>
      </c>
      <c r="CY28" s="937">
        <f t="shared" si="8"/>
        <v>10318.697830000001</v>
      </c>
      <c r="CZ28" s="937">
        <f t="shared" si="9"/>
        <v>4604.6873900000001</v>
      </c>
    </row>
    <row r="29" spans="1:104" ht="25.5" customHeight="1" thickBot="1" x14ac:dyDescent="0.3">
      <c r="A29" s="160" t="s">
        <v>104</v>
      </c>
      <c r="B29" s="112">
        <f t="shared" ref="B29:C29" si="10">SUM(B11:B28)</f>
        <v>2235024788.46</v>
      </c>
      <c r="C29" s="114">
        <f t="shared" si="10"/>
        <v>1259799227.5100002</v>
      </c>
      <c r="D29" s="459">
        <f t="shared" ref="D29:E29" si="11">SUM(D11:D28)</f>
        <v>1585988059.5700002</v>
      </c>
      <c r="E29" s="116">
        <f t="shared" si="11"/>
        <v>812649104.75</v>
      </c>
      <c r="F29" s="114">
        <f t="shared" ref="F29:AY29" si="12">SUM(F11:F28)</f>
        <v>211969466.77000001</v>
      </c>
      <c r="G29" s="111">
        <f t="shared" si="12"/>
        <v>169015648.21000001</v>
      </c>
      <c r="H29" s="112">
        <f t="shared" ref="H29:I29" si="13">SUM(H11:H28)</f>
        <v>296336647.06</v>
      </c>
      <c r="I29" s="111">
        <f t="shared" si="13"/>
        <v>138180933.74000001</v>
      </c>
      <c r="J29" s="112">
        <f t="shared" ref="J29:K29" si="14">SUM(J11:J28)</f>
        <v>0</v>
      </c>
      <c r="K29" s="111">
        <f t="shared" si="14"/>
        <v>0</v>
      </c>
      <c r="L29" s="112">
        <f t="shared" si="12"/>
        <v>0</v>
      </c>
      <c r="M29" s="112">
        <f t="shared" si="12"/>
        <v>0</v>
      </c>
      <c r="N29" s="111">
        <f>SUM(N11:N28)</f>
        <v>5371400</v>
      </c>
      <c r="O29" s="112">
        <f>SUM(O11:O28)</f>
        <v>2685699.99</v>
      </c>
      <c r="P29" s="112">
        <f t="shared" ref="P29:Q29" si="15">SUM(P11:P28)</f>
        <v>4611300</v>
      </c>
      <c r="Q29" s="111">
        <f t="shared" si="15"/>
        <v>457273.29</v>
      </c>
      <c r="R29" s="115">
        <f t="shared" ref="R29:W29" si="16">SUM(R11:R28)</f>
        <v>0</v>
      </c>
      <c r="S29" s="111">
        <f t="shared" si="16"/>
        <v>0</v>
      </c>
      <c r="T29" s="115">
        <f t="shared" si="16"/>
        <v>20000000</v>
      </c>
      <c r="U29" s="111">
        <f t="shared" si="16"/>
        <v>0</v>
      </c>
      <c r="V29" s="112">
        <f t="shared" si="16"/>
        <v>0</v>
      </c>
      <c r="W29" s="111">
        <f t="shared" si="16"/>
        <v>0</v>
      </c>
      <c r="X29" s="112">
        <f t="shared" ref="X29:Y29" si="17">SUM(X11:X28)</f>
        <v>44645700</v>
      </c>
      <c r="Y29" s="111">
        <f t="shared" si="17"/>
        <v>44645700</v>
      </c>
      <c r="Z29" s="112">
        <f t="shared" ref="Z29:AA29" si="18">SUM(Z11:Z28)</f>
        <v>62343714.469999999</v>
      </c>
      <c r="AA29" s="111">
        <f t="shared" si="18"/>
        <v>17405719.52</v>
      </c>
      <c r="AB29" s="112">
        <f t="shared" ref="AB29:AI29" si="19">SUM(AB11:AB28)</f>
        <v>7879700</v>
      </c>
      <c r="AC29" s="111">
        <f t="shared" si="19"/>
        <v>0</v>
      </c>
      <c r="AD29" s="112">
        <f t="shared" ref="AD29:AG29" si="20">SUM(AD11:AD28)</f>
        <v>10550900</v>
      </c>
      <c r="AE29" s="111">
        <f t="shared" si="20"/>
        <v>8036778.5099999998</v>
      </c>
      <c r="AF29" s="112">
        <f t="shared" si="20"/>
        <v>7601900</v>
      </c>
      <c r="AG29" s="111">
        <f t="shared" si="20"/>
        <v>0</v>
      </c>
      <c r="AH29" s="112">
        <f t="shared" si="19"/>
        <v>3003700</v>
      </c>
      <c r="AI29" s="112">
        <f t="shared" si="19"/>
        <v>1414273.3299999998</v>
      </c>
      <c r="AJ29" s="112">
        <f t="shared" si="12"/>
        <v>0</v>
      </c>
      <c r="AK29" s="111">
        <f t="shared" si="12"/>
        <v>0</v>
      </c>
      <c r="AL29" s="112">
        <f t="shared" si="12"/>
        <v>15837199.900000002</v>
      </c>
      <c r="AM29" s="111">
        <f t="shared" si="12"/>
        <v>13635713.570000002</v>
      </c>
      <c r="AN29" s="112">
        <f t="shared" ref="AN29:AO29" si="21">SUM(AN11:AN28)</f>
        <v>21705700</v>
      </c>
      <c r="AO29" s="111">
        <f t="shared" si="21"/>
        <v>2592884.21</v>
      </c>
      <c r="AP29" s="112">
        <f t="shared" ref="AP29:AQ29" si="22">SUM(AP11:AP28)</f>
        <v>35012200</v>
      </c>
      <c r="AQ29" s="111">
        <f t="shared" si="22"/>
        <v>34883116.660000004</v>
      </c>
      <c r="AR29" s="112">
        <f t="shared" ref="AR29:AS29" si="23">SUM(AR11:AR28)</f>
        <v>48645331.199999996</v>
      </c>
      <c r="AS29" s="111">
        <f t="shared" si="23"/>
        <v>21057096.59</v>
      </c>
      <c r="AT29" s="112">
        <f t="shared" ref="AT29:AU29" si="24">SUM(AT11:AT28)</f>
        <v>0</v>
      </c>
      <c r="AU29" s="111">
        <f t="shared" si="24"/>
        <v>0</v>
      </c>
      <c r="AV29" s="112">
        <f t="shared" si="12"/>
        <v>190567200</v>
      </c>
      <c r="AW29" s="112">
        <f t="shared" si="12"/>
        <v>150831310.75999999</v>
      </c>
      <c r="AX29" s="112">
        <f t="shared" si="12"/>
        <v>97141482.170000002</v>
      </c>
      <c r="AY29" s="111">
        <f t="shared" si="12"/>
        <v>77417503.5</v>
      </c>
      <c r="AZ29" s="112">
        <f t="shared" ref="AZ29:BA29" si="25">SUM(AZ11:AZ28)</f>
        <v>19993600</v>
      </c>
      <c r="BA29" s="111">
        <f t="shared" si="25"/>
        <v>10734480.310000001</v>
      </c>
      <c r="BB29" s="114">
        <f t="shared" ref="BB29:BC29" si="26">SUM(BB11:BB28)</f>
        <v>0</v>
      </c>
      <c r="BC29" s="114">
        <f t="shared" si="26"/>
        <v>0</v>
      </c>
      <c r="BD29" s="112">
        <f t="shared" ref="BD29:BE29" si="27">SUM(BD11:BD28)</f>
        <v>28724600</v>
      </c>
      <c r="BE29" s="111">
        <f t="shared" si="27"/>
        <v>11283835.609999999</v>
      </c>
      <c r="BF29" s="112">
        <f t="shared" ref="BF29:BG29" si="28">SUM(BF11:BF28)</f>
        <v>0</v>
      </c>
      <c r="BG29" s="112">
        <f t="shared" si="28"/>
        <v>0</v>
      </c>
      <c r="BH29" s="112">
        <f t="shared" ref="BH29:BI29" si="29">SUM(BH11:BH28)</f>
        <v>286389500</v>
      </c>
      <c r="BI29" s="114">
        <f t="shared" si="29"/>
        <v>25494204.719999999</v>
      </c>
      <c r="BJ29" s="115">
        <f t="shared" ref="BJ29:BK29" si="30">SUM(BJ11:BJ28)</f>
        <v>127736418</v>
      </c>
      <c r="BK29" s="111">
        <f t="shared" si="30"/>
        <v>82876932.230000004</v>
      </c>
      <c r="BL29" s="115">
        <f t="shared" ref="BL29:BM29" si="31">SUM(BL11:BL28)</f>
        <v>39920400</v>
      </c>
      <c r="BM29" s="111">
        <f t="shared" si="31"/>
        <v>0</v>
      </c>
      <c r="BN29" s="112">
        <f t="shared" ref="BN29:CE29" si="32">SUM(BN11:BN28)</f>
        <v>218443648.89000002</v>
      </c>
      <c r="BO29" s="111">
        <f t="shared" si="32"/>
        <v>111699579.92</v>
      </c>
      <c r="BP29" s="112">
        <f t="shared" si="32"/>
        <v>32076000</v>
      </c>
      <c r="BQ29" s="111">
        <f t="shared" si="32"/>
        <v>20852690.699999999</v>
      </c>
      <c r="BR29" s="114">
        <f t="shared" si="32"/>
        <v>46200</v>
      </c>
      <c r="BS29" s="114">
        <f t="shared" si="32"/>
        <v>8489.5</v>
      </c>
      <c r="BT29" s="112">
        <f t="shared" si="32"/>
        <v>6961980</v>
      </c>
      <c r="BU29" s="111">
        <f t="shared" si="32"/>
        <v>4223556</v>
      </c>
      <c r="BV29" s="459">
        <f t="shared" si="32"/>
        <v>1450153</v>
      </c>
      <c r="BW29" s="111">
        <f t="shared" si="32"/>
        <v>703926</v>
      </c>
      <c r="BX29" s="459">
        <f>SUM(BX11:BX28)</f>
        <v>2248615</v>
      </c>
      <c r="BY29" s="111">
        <f>SUM(BY11:BY28)</f>
        <v>2111778</v>
      </c>
      <c r="BZ29" s="112">
        <f t="shared" ref="BZ29:CC29" si="33">SUM(BZ11:BZ28)</f>
        <v>141924443.78</v>
      </c>
      <c r="CA29" s="111">
        <f t="shared" si="33"/>
        <v>64977818.369999997</v>
      </c>
      <c r="CB29" s="112">
        <f t="shared" si="33"/>
        <v>8340257.1100000003</v>
      </c>
      <c r="CC29" s="111">
        <f t="shared" si="33"/>
        <v>0</v>
      </c>
      <c r="CD29" s="112">
        <f t="shared" si="32"/>
        <v>25396000</v>
      </c>
      <c r="CE29" s="111">
        <f t="shared" si="32"/>
        <v>18821321.350000001</v>
      </c>
      <c r="CF29" s="115">
        <f t="shared" ref="CF29:CG29" si="34">SUM(CF11:CF28)</f>
        <v>430593080</v>
      </c>
      <c r="CG29" s="111">
        <f t="shared" si="34"/>
        <v>335450542.84000003</v>
      </c>
      <c r="CH29" s="112">
        <f t="shared" ref="CH29:CI29" si="35">SUM(CH11:CH28)</f>
        <v>254593080</v>
      </c>
      <c r="CI29" s="111">
        <f t="shared" si="35"/>
        <v>181699822.67000005</v>
      </c>
      <c r="CJ29" s="112">
        <f t="shared" ref="CJ29:CK29" si="36">SUM(CJ11:CJ28)</f>
        <v>0</v>
      </c>
      <c r="CK29" s="111">
        <f t="shared" si="36"/>
        <v>0</v>
      </c>
      <c r="CL29" s="112">
        <f t="shared" ref="CL29:CM29" si="37">SUM(CL11:CL28)</f>
        <v>0</v>
      </c>
      <c r="CM29" s="111">
        <f t="shared" si="37"/>
        <v>0</v>
      </c>
      <c r="CN29" s="112">
        <f t="shared" ref="CN29:CQ29" si="38">SUM(CN11:CN28)</f>
        <v>0</v>
      </c>
      <c r="CO29" s="116">
        <f t="shared" si="38"/>
        <v>0</v>
      </c>
      <c r="CP29" s="116">
        <f t="shared" si="38"/>
        <v>170000000</v>
      </c>
      <c r="CQ29" s="114">
        <f t="shared" si="38"/>
        <v>147750720.16999999</v>
      </c>
      <c r="CR29" s="112">
        <f t="shared" ref="CR29:CW29" si="39">SUM(CR11:CR28)</f>
        <v>1000000</v>
      </c>
      <c r="CS29" s="111">
        <f t="shared" si="39"/>
        <v>1000000</v>
      </c>
      <c r="CT29" s="112">
        <f t="shared" ref="CT29:CU29" si="40">SUM(CT11:CT28)</f>
        <v>0</v>
      </c>
      <c r="CU29" s="111">
        <f t="shared" si="40"/>
        <v>0</v>
      </c>
      <c r="CV29" s="112">
        <f t="shared" si="39"/>
        <v>5000000</v>
      </c>
      <c r="CW29" s="111">
        <f t="shared" si="39"/>
        <v>5000000</v>
      </c>
      <c r="CY29" s="937">
        <f t="shared" si="8"/>
        <v>186367.64889000001</v>
      </c>
      <c r="CZ29" s="937">
        <f t="shared" si="9"/>
        <v>90846.889219999997</v>
      </c>
    </row>
    <row r="30" spans="1:104" ht="25.5" customHeight="1" x14ac:dyDescent="0.25">
      <c r="A30" s="105"/>
      <c r="B30" s="121"/>
      <c r="C30" s="120"/>
      <c r="D30" s="122"/>
      <c r="E30" s="204"/>
      <c r="F30" s="120"/>
      <c r="G30" s="120"/>
      <c r="H30" s="122"/>
      <c r="I30" s="120"/>
      <c r="J30" s="204"/>
      <c r="K30" s="119"/>
      <c r="L30" s="204"/>
      <c r="M30" s="119"/>
      <c r="N30" s="122"/>
      <c r="O30" s="791"/>
      <c r="P30" s="204"/>
      <c r="Q30" s="119"/>
      <c r="R30" s="122"/>
      <c r="S30" s="119"/>
      <c r="T30" s="122"/>
      <c r="U30" s="119"/>
      <c r="V30" s="204"/>
      <c r="W30" s="119"/>
      <c r="X30" s="204"/>
      <c r="Y30" s="119"/>
      <c r="Z30" s="204"/>
      <c r="AA30" s="119"/>
      <c r="AB30" s="204"/>
      <c r="AC30" s="119"/>
      <c r="AD30" s="204"/>
      <c r="AE30" s="119"/>
      <c r="AF30" s="204"/>
      <c r="AG30" s="119"/>
      <c r="AH30" s="204"/>
      <c r="AI30" s="119"/>
      <c r="AJ30" s="204"/>
      <c r="AK30" s="119"/>
      <c r="AL30" s="204"/>
      <c r="AM30" s="119"/>
      <c r="AN30" s="204"/>
      <c r="AO30" s="119"/>
      <c r="AP30" s="204"/>
      <c r="AQ30" s="119"/>
      <c r="AR30" s="204"/>
      <c r="AS30" s="119"/>
      <c r="AT30" s="204"/>
      <c r="AU30" s="119"/>
      <c r="AV30" s="204"/>
      <c r="AW30" s="119"/>
      <c r="AX30" s="204"/>
      <c r="AY30" s="119"/>
      <c r="AZ30" s="204"/>
      <c r="BA30" s="119"/>
      <c r="BB30" s="120"/>
      <c r="BC30" s="119"/>
      <c r="BD30" s="204"/>
      <c r="BE30" s="119"/>
      <c r="BF30" s="204"/>
      <c r="BG30" s="119"/>
      <c r="BH30" s="204"/>
      <c r="BI30" s="119"/>
      <c r="BJ30" s="204"/>
      <c r="BK30" s="119"/>
      <c r="BL30" s="204"/>
      <c r="BM30" s="119"/>
      <c r="BN30" s="260"/>
      <c r="BO30" s="161"/>
      <c r="BP30" s="122"/>
      <c r="BQ30" s="119"/>
      <c r="BR30" s="113"/>
      <c r="BS30" s="113"/>
      <c r="BT30" s="202"/>
      <c r="BU30" s="123"/>
      <c r="BV30" s="460"/>
      <c r="BW30" s="123"/>
      <c r="BX30" s="460"/>
      <c r="BY30" s="123"/>
      <c r="BZ30" s="204"/>
      <c r="CA30" s="120"/>
      <c r="CB30" s="204"/>
      <c r="CC30" s="204"/>
      <c r="CD30" s="204"/>
      <c r="CE30" s="120"/>
      <c r="CF30" s="1110"/>
      <c r="CG30" s="161"/>
      <c r="CH30" s="204"/>
      <c r="CI30" s="119"/>
      <c r="CJ30" s="204"/>
      <c r="CK30" s="119"/>
      <c r="CL30" s="204"/>
      <c r="CM30" s="119"/>
      <c r="CN30" s="204"/>
      <c r="CO30" s="119"/>
      <c r="CP30" s="204"/>
      <c r="CQ30" s="120"/>
      <c r="CR30" s="204"/>
      <c r="CS30" s="119"/>
      <c r="CT30" s="204"/>
      <c r="CU30" s="119"/>
      <c r="CV30" s="204"/>
      <c r="CW30" s="119"/>
      <c r="CY30" s="937">
        <f t="shared" si="8"/>
        <v>0</v>
      </c>
      <c r="CZ30" s="937">
        <f t="shared" si="9"/>
        <v>0</v>
      </c>
    </row>
    <row r="31" spans="1:104" ht="25.5" customHeight="1" x14ac:dyDescent="0.25">
      <c r="A31" s="102" t="s">
        <v>5</v>
      </c>
      <c r="B31" s="103">
        <f>D31+BN31+CF31</f>
        <v>209881304.87</v>
      </c>
      <c r="C31" s="101">
        <f>E31+BO31+CG31</f>
        <v>164854765.25999999</v>
      </c>
      <c r="D31" s="278">
        <f>L31+N31+AL31+AX31+F31+AV31+BF31+AJ31+P31+AN31+J31+R31+Z31+BB31+V31+X31+AB31+AH31+H31+AZ31+BD31+BJ31+AD31+AR31+AP31+BH31+T31+BL31+AF31+AT31</f>
        <v>74966389.159999996</v>
      </c>
      <c r="E31" s="278">
        <f>M31+O31+AM31+AY31+G31+AW31+BG31+AK31+Q31+AO31+K31+S31+AA31+BC31+W31+Y31+AC31+AI31+I31+BA31+BE31+BK31+AE31+AS31+AQ31+BI31+U31+BM31+AG31+AU31</f>
        <v>56829786.469999999</v>
      </c>
      <c r="F31" s="101">
        <f>'Проверочная  таблица'!CS32+'Проверочная  таблица'!CU32</f>
        <v>25132589.16</v>
      </c>
      <c r="G31" s="101">
        <f>'Проверочная  таблица'!CT32+'Проверочная  таблица'!CV32</f>
        <v>22544981.84</v>
      </c>
      <c r="H31" s="103">
        <f>'Проверочная  таблица'!DL32</f>
        <v>0</v>
      </c>
      <c r="I31" s="101">
        <f>'Проверочная  таблица'!DP32</f>
        <v>0</v>
      </c>
      <c r="J31" s="103">
        <f>'Проверочная  таблица'!DT32</f>
        <v>0</v>
      </c>
      <c r="K31" s="101">
        <f>'Проверочная  таблица'!EA32</f>
        <v>0</v>
      </c>
      <c r="L31" s="103">
        <f>'Проверочная  таблица'!DV32</f>
        <v>0</v>
      </c>
      <c r="M31" s="101">
        <f>'Проверочная  таблица'!EC32</f>
        <v>0</v>
      </c>
      <c r="N31" s="104">
        <f>'Проверочная  таблица'!EG32</f>
        <v>0</v>
      </c>
      <c r="O31" s="103">
        <f>'Проверочная  таблица'!EJ32</f>
        <v>0</v>
      </c>
      <c r="P31" s="103">
        <f>'Проверочная  таблица'!EM32</f>
        <v>0</v>
      </c>
      <c r="Q31" s="101">
        <f>'Проверочная  таблица'!ET32</f>
        <v>0</v>
      </c>
      <c r="R31" s="103">
        <f>'Проверочная  таблица'!EO32</f>
        <v>0</v>
      </c>
      <c r="S31" s="101">
        <f>'Проверочная  таблица'!EV32</f>
        <v>0</v>
      </c>
      <c r="T31" s="103">
        <f>'Проверочная  таблица'!EQ32</f>
        <v>0</v>
      </c>
      <c r="U31" s="101">
        <f>'Проверочная  таблица'!EX32</f>
        <v>0</v>
      </c>
      <c r="V31" s="103">
        <f>'Проверочная  таблица'!FA32</f>
        <v>0</v>
      </c>
      <c r="W31" s="101">
        <f>'Проверочная  таблица'!FD32</f>
        <v>0</v>
      </c>
      <c r="X31" s="103">
        <f>'Проверочная  таблица'!FG32</f>
        <v>0</v>
      </c>
      <c r="Y31" s="101">
        <f>'Проверочная  таблица'!FJ32</f>
        <v>0</v>
      </c>
      <c r="Z31" s="103">
        <f>'Проверочная  таблица'!FM32</f>
        <v>0</v>
      </c>
      <c r="AA31" s="101">
        <f>'Проверочная  таблица'!FP32</f>
        <v>0</v>
      </c>
      <c r="AB31" s="103">
        <f>'Проверочная  таблица'!FS32+'Проверочная  таблица'!FY32</f>
        <v>0</v>
      </c>
      <c r="AC31" s="101">
        <f>'Проверочная  таблица'!FV32+'Проверочная  таблица'!GB32</f>
        <v>0</v>
      </c>
      <c r="AD31" s="103">
        <f>'Проверочная  таблица'!GI32</f>
        <v>0</v>
      </c>
      <c r="AE31" s="101">
        <f>'Проверочная  таблица'!GL32</f>
        <v>0</v>
      </c>
      <c r="AF31" s="103">
        <f>'Проверочная  таблица'!MK32</f>
        <v>0</v>
      </c>
      <c r="AG31" s="101">
        <f>'Проверочная  таблица'!MP32</f>
        <v>0</v>
      </c>
      <c r="AH31" s="103">
        <f>'Проверочная  таблица'!GO32+'Проверочная  таблица'!GU32</f>
        <v>0</v>
      </c>
      <c r="AI31" s="101">
        <f>'Проверочная  таблица'!GR32+'Проверочная  таблица'!GX32</f>
        <v>0</v>
      </c>
      <c r="AJ31" s="103">
        <f>'Проверочная  таблица'!HM32</f>
        <v>2692900</v>
      </c>
      <c r="AK31" s="101">
        <f>'Проверочная  таблица'!HP32</f>
        <v>2692900</v>
      </c>
      <c r="AL31" s="103">
        <f>'Проверочная  таблица'!HS32+'Проверочная  таблица'!HY32</f>
        <v>0</v>
      </c>
      <c r="AM31" s="101">
        <f>'Проверочная  таблица'!HV32+'Проверочная  таблица'!IB32</f>
        <v>0</v>
      </c>
      <c r="AN31" s="103">
        <f>'Проверочная  таблица'!IU32+'Проверочная  таблица'!JO32</f>
        <v>0</v>
      </c>
      <c r="AO31" s="101">
        <f>'Проверочная  таблица'!JT32+'Проверочная  таблица'!JE32</f>
        <v>0</v>
      </c>
      <c r="AP31" s="103">
        <f>'Проверочная  таблица'!IY32</f>
        <v>0</v>
      </c>
      <c r="AQ31" s="101">
        <f>'Проверочная  таблица'!JI32</f>
        <v>0</v>
      </c>
      <c r="AR31" s="103">
        <f>'Проверочная  таблица'!IW32</f>
        <v>0</v>
      </c>
      <c r="AS31" s="101">
        <f>'Проверочная  таблица'!JG32</f>
        <v>0</v>
      </c>
      <c r="AT31" s="103">
        <f>'Проверочная  таблица'!IS32+'Проверочная  таблица'!JM32</f>
        <v>0</v>
      </c>
      <c r="AU31" s="101">
        <f>'Проверочная  таблица'!JC32+'Проверочная  таблица'!JR32</f>
        <v>0</v>
      </c>
      <c r="AV31" s="103">
        <f>'Проверочная  таблица'!KQ32</f>
        <v>0</v>
      </c>
      <c r="AW31" s="101">
        <f>'Проверочная  таблица'!KU32</f>
        <v>0</v>
      </c>
      <c r="AX31" s="103">
        <f>'Проверочная  таблица'!LC32+'Проверочная  таблица'!LK32</f>
        <v>47140900</v>
      </c>
      <c r="AY31" s="101">
        <f>'Проверочная  таблица'!LG32+'Проверочная  таблица'!LO32</f>
        <v>31591904.629999999</v>
      </c>
      <c r="AZ31" s="103">
        <f>'Проверочная  таблица'!MI32</f>
        <v>0</v>
      </c>
      <c r="BA31" s="101">
        <f>'Проверочная  таблица'!MN32</f>
        <v>0</v>
      </c>
      <c r="BB31" s="101">
        <f>'Проверочная  таблица'!NM32</f>
        <v>0</v>
      </c>
      <c r="BC31" s="101">
        <f>'Проверочная  таблица'!NP32</f>
        <v>0</v>
      </c>
      <c r="BD31" s="103">
        <f>'Проверочная  таблица'!OG32</f>
        <v>0</v>
      </c>
      <c r="BE31" s="101">
        <f>'Проверочная  таблица'!ON32</f>
        <v>0</v>
      </c>
      <c r="BF31" s="103">
        <f>'Проверочная  таблица'!NS32+'Проверочная  таблица'!OI32</f>
        <v>0</v>
      </c>
      <c r="BG31" s="101">
        <f>'Проверочная  таблица'!NZ32+'Проверочная  таблица'!OP32</f>
        <v>0</v>
      </c>
      <c r="BH31" s="103">
        <f>'Проверочная  таблица'!NU32</f>
        <v>0</v>
      </c>
      <c r="BI31" s="101">
        <f>'Проверочная  таблица'!OB32</f>
        <v>0</v>
      </c>
      <c r="BJ31" s="103">
        <f>'Проверочная  таблица'!OK32+'Проверочная  таблица'!NW32</f>
        <v>0</v>
      </c>
      <c r="BK31" s="101">
        <f>'Проверочная  таблица'!OR32+'Проверочная  таблица'!OD32</f>
        <v>0</v>
      </c>
      <c r="BL31" s="103">
        <f>'Проверочная  таблица'!PW32+'Проверочная  таблица'!QC32</f>
        <v>0</v>
      </c>
      <c r="BM31" s="101">
        <f>'Проверочная  таблица'!PZ32+'Проверочная  таблица'!QF32</f>
        <v>0</v>
      </c>
      <c r="BN31" s="103">
        <f t="shared" ref="BN31:BN32" si="41">CD31+BP31+BV31+BR31+BT31+BX31+BZ31+CB31</f>
        <v>33276315.709999997</v>
      </c>
      <c r="BO31" s="101">
        <f t="shared" ref="BO31:BO32" si="42">CE31+BQ31+BW31+BS31+BU31+BY31+CA31+CC31</f>
        <v>16307834.530000001</v>
      </c>
      <c r="BP31" s="104">
        <f>'Проверочная  таблица'!RM32</f>
        <v>0</v>
      </c>
      <c r="BQ31" s="101">
        <f>'Проверочная  таблица'!RN32</f>
        <v>0</v>
      </c>
      <c r="BR31" s="100">
        <f>'Проверочная  таблица'!RO32</f>
        <v>16000</v>
      </c>
      <c r="BS31" s="100">
        <f>'Проверочная  таблица'!RP32</f>
        <v>16000</v>
      </c>
      <c r="BT31" s="280">
        <f>'Проверочная  таблица'!RQ32</f>
        <v>0</v>
      </c>
      <c r="BU31" s="170">
        <f>'Проверочная  таблица'!RR32</f>
        <v>0</v>
      </c>
      <c r="BV31" s="461">
        <f>'Проверочная  таблица'!RS32</f>
        <v>746227</v>
      </c>
      <c r="BW31" s="170">
        <f>'Проверочная  таблица'!RT32</f>
        <v>703926</v>
      </c>
      <c r="BX31" s="461">
        <f>'Проверочная  таблица'!RU32</f>
        <v>1499077</v>
      </c>
      <c r="BY31" s="170">
        <f>'Проверочная  таблица'!RV32</f>
        <v>1407852</v>
      </c>
      <c r="BZ31" s="103">
        <f>'Проверочная  таблица'!RY32</f>
        <v>27341411.809999999</v>
      </c>
      <c r="CA31" s="101">
        <f>'Проверочная  таблица'!SB32</f>
        <v>12956706.960000001</v>
      </c>
      <c r="CB31" s="103">
        <f>'Проверочная  таблица'!SC32</f>
        <v>1583599.9</v>
      </c>
      <c r="CC31" s="101">
        <f>'Проверочная  таблица'!SD32</f>
        <v>0</v>
      </c>
      <c r="CD31" s="103">
        <f>'Проверочная  таблица'!SG32</f>
        <v>2090000</v>
      </c>
      <c r="CE31" s="101">
        <f>'Проверочная  таблица'!SJ32</f>
        <v>1223349.57</v>
      </c>
      <c r="CF31" s="103">
        <f t="shared" ref="CF31:CF32" si="43">CN31+CR31+CV31+CP31+CH31+CJ31+CT31+CL31</f>
        <v>101638600</v>
      </c>
      <c r="CG31" s="101">
        <f t="shared" ref="CG31:CG32" si="44">CO31+CS31+CW31+CQ31+CI31+CK31+CU31+CM31</f>
        <v>91717144.260000005</v>
      </c>
      <c r="CH31" s="103">
        <f>'Проверочная  таблица'!SO32</f>
        <v>31638600</v>
      </c>
      <c r="CI31" s="101">
        <f>'Проверочная  таблица'!SR32</f>
        <v>21717144.260000002</v>
      </c>
      <c r="CJ31" s="103">
        <f>'Проверочная  таблица'!ST32</f>
        <v>0</v>
      </c>
      <c r="CK31" s="101">
        <f>'Проверочная  таблица'!SW32</f>
        <v>0</v>
      </c>
      <c r="CL31" s="103">
        <f>'Проверочная  таблица'!SU32</f>
        <v>0</v>
      </c>
      <c r="CM31" s="101">
        <f>'Проверочная  таблица'!SX32</f>
        <v>0</v>
      </c>
      <c r="CN31" s="103">
        <f>'Проверочная  таблица'!SZ32+'Проверочная  таблица'!TD32</f>
        <v>70000000</v>
      </c>
      <c r="CO31" s="101">
        <f>'Проверочная  таблица'!TB32+'Проверочная  таблица'!TF32</f>
        <v>70000000</v>
      </c>
      <c r="CP31" s="103">
        <f>'Проверочная  таблица'!TM32+'Проверочная  таблица'!TS32</f>
        <v>0</v>
      </c>
      <c r="CQ31" s="101">
        <f>'Проверочная  таблица'!TP32+'Проверочная  таблица'!TV32</f>
        <v>0</v>
      </c>
      <c r="CR31" s="103">
        <f>'Проверочная  таблица'!UC32</f>
        <v>0</v>
      </c>
      <c r="CS31" s="101">
        <f>'Проверочная  таблица'!UF32</f>
        <v>0</v>
      </c>
      <c r="CT31" s="103">
        <f>'Проверочная  таблица'!UJ32</f>
        <v>0</v>
      </c>
      <c r="CU31" s="101">
        <f>'Проверочная  таблица'!UN32</f>
        <v>0</v>
      </c>
      <c r="CV31" s="103">
        <f>'Проверочная  таблица'!UI32</f>
        <v>0</v>
      </c>
      <c r="CW31" s="101">
        <f>'Проверочная  таблица'!UM32</f>
        <v>0</v>
      </c>
      <c r="CY31" s="937">
        <f t="shared" si="8"/>
        <v>33276.315709999995</v>
      </c>
      <c r="CZ31" s="937">
        <f t="shared" si="9"/>
        <v>16307.834530000002</v>
      </c>
    </row>
    <row r="32" spans="1:104" ht="25.5" customHeight="1" thickBot="1" x14ac:dyDescent="0.3">
      <c r="A32" s="105" t="s">
        <v>6</v>
      </c>
      <c r="B32" s="103">
        <f>D32+BN32+CF32</f>
        <v>1852462530.3199999</v>
      </c>
      <c r="C32" s="101">
        <f>E32+BO32+CG32</f>
        <v>1437010493.48</v>
      </c>
      <c r="D32" s="278">
        <f>L32+N32+AL32+AX32+F32+AV32+BF32+AJ32+P32+AN32+J32+R32+Z32+BB32+V32+X32+AB32+AH32+H32+AZ32+BD32+BJ32+AD32+AR32+AP32+BH32+T32+BL32+AF32+AT32</f>
        <v>1043215474.9199998</v>
      </c>
      <c r="E32" s="278">
        <f>M32+O32+AM32+AY32+G32+AW32+BG32+AK32+Q32+AO32+K32+S32+AA32+BC32+W32+Y32+AC32+AI32+I32+BA32+BE32+BK32+AE32+AS32+AQ32+BI32+U32+BM32+AG32+AU32</f>
        <v>762073375.74000001</v>
      </c>
      <c r="F32" s="101">
        <f>'Проверочная  таблица'!CS33+'Проверочная  таблица'!CU33</f>
        <v>561161220.58999991</v>
      </c>
      <c r="G32" s="101">
        <f>'Проверочная  таблица'!CT33+'Проверочная  таблица'!CV33</f>
        <v>450226185.76999998</v>
      </c>
      <c r="H32" s="103">
        <f>'Проверочная  таблица'!DL33</f>
        <v>0</v>
      </c>
      <c r="I32" s="101">
        <f>'Проверочная  таблица'!DP33</f>
        <v>0</v>
      </c>
      <c r="J32" s="103">
        <f>'Проверочная  таблица'!DT33</f>
        <v>0</v>
      </c>
      <c r="K32" s="101">
        <f>'Проверочная  таблица'!EA33</f>
        <v>0</v>
      </c>
      <c r="L32" s="103">
        <f>'Проверочная  таблица'!DV33</f>
        <v>0</v>
      </c>
      <c r="M32" s="101">
        <f>'Проверочная  таблица'!EC33</f>
        <v>0</v>
      </c>
      <c r="N32" s="104">
        <f>'Проверочная  таблица'!EG33</f>
        <v>0</v>
      </c>
      <c r="O32" s="103">
        <f>'Проверочная  таблица'!EJ33</f>
        <v>0</v>
      </c>
      <c r="P32" s="103">
        <f>'Проверочная  таблица'!EM33</f>
        <v>0</v>
      </c>
      <c r="Q32" s="101">
        <f>'Проверочная  таблица'!ET33</f>
        <v>0</v>
      </c>
      <c r="R32" s="103">
        <f>'Проверочная  таблица'!EO33</f>
        <v>0</v>
      </c>
      <c r="S32" s="101">
        <f>'Проверочная  таблица'!EV33</f>
        <v>0</v>
      </c>
      <c r="T32" s="103">
        <f>'Проверочная  таблица'!EQ33</f>
        <v>0</v>
      </c>
      <c r="U32" s="101">
        <f>'Проверочная  таблица'!EX33</f>
        <v>0</v>
      </c>
      <c r="V32" s="103">
        <f>'Проверочная  таблица'!FA33</f>
        <v>25000000</v>
      </c>
      <c r="W32" s="101">
        <f>'Проверочная  таблица'!FD33</f>
        <v>25000000</v>
      </c>
      <c r="X32" s="103">
        <f>'Проверочная  таблица'!FG33</f>
        <v>0</v>
      </c>
      <c r="Y32" s="101">
        <f>'Проверочная  таблица'!FJ33</f>
        <v>0</v>
      </c>
      <c r="Z32" s="103">
        <f>'Проверочная  таблица'!FM33</f>
        <v>108225985.53</v>
      </c>
      <c r="AA32" s="101">
        <f>'Проверочная  таблица'!FP33</f>
        <v>60825002.490000002</v>
      </c>
      <c r="AB32" s="103">
        <f>'Проверочная  таблица'!FS33+'Проверочная  таблица'!FY33</f>
        <v>36999000</v>
      </c>
      <c r="AC32" s="101">
        <f>'Проверочная  таблица'!FV33+'Проверочная  таблица'!GB33</f>
        <v>34773463.049999997</v>
      </c>
      <c r="AD32" s="103">
        <f>'Проверочная  таблица'!GI33</f>
        <v>0</v>
      </c>
      <c r="AE32" s="101">
        <f>'Проверочная  таблица'!GL33</f>
        <v>0</v>
      </c>
      <c r="AF32" s="103">
        <f>'Проверочная  таблица'!MK33</f>
        <v>0</v>
      </c>
      <c r="AG32" s="101">
        <f>'Проверочная  таблица'!MP33</f>
        <v>0</v>
      </c>
      <c r="AH32" s="103">
        <f>'Проверочная  таблица'!GO33+'Проверочная  таблица'!GU33</f>
        <v>0</v>
      </c>
      <c r="AI32" s="101">
        <f>'Проверочная  таблица'!GR33+'Проверочная  таблица'!GX33</f>
        <v>0</v>
      </c>
      <c r="AJ32" s="108">
        <f>'Проверочная  таблица'!HM33</f>
        <v>0</v>
      </c>
      <c r="AK32" s="107">
        <f>'Проверочная  таблица'!HP33</f>
        <v>0</v>
      </c>
      <c r="AL32" s="103">
        <f>'Проверочная  таблица'!HS33+'Проверочная  таблица'!HY33</f>
        <v>0</v>
      </c>
      <c r="AM32" s="101">
        <f>'Проверочная  таблица'!HV33+'Проверочная  таблица'!IB33</f>
        <v>0</v>
      </c>
      <c r="AN32" s="103">
        <f>'Проверочная  таблица'!IU33+'Проверочная  таблица'!JO33</f>
        <v>0</v>
      </c>
      <c r="AO32" s="101">
        <f>'Проверочная  таблица'!JT33+'Проверочная  таблица'!JE33</f>
        <v>0</v>
      </c>
      <c r="AP32" s="103">
        <f>'Проверочная  таблица'!IY33</f>
        <v>0</v>
      </c>
      <c r="AQ32" s="101">
        <f>'Проверочная  таблица'!JI33</f>
        <v>0</v>
      </c>
      <c r="AR32" s="103">
        <f>'Проверочная  таблица'!IW33</f>
        <v>16402168.800000001</v>
      </c>
      <c r="AS32" s="101">
        <f>'Проверочная  таблица'!JG33</f>
        <v>7474119.4800000004</v>
      </c>
      <c r="AT32" s="103">
        <f>'Проверочная  таблица'!IS33+'Проверочная  таблица'!JM33</f>
        <v>0</v>
      </c>
      <c r="AU32" s="101">
        <f>'Проверочная  таблица'!JC33+'Проверочная  таблица'!JR33</f>
        <v>0</v>
      </c>
      <c r="AV32" s="103">
        <f>'Проверочная  таблица'!KQ33</f>
        <v>0</v>
      </c>
      <c r="AW32" s="101">
        <f>'Проверочная  таблица'!KU33</f>
        <v>0</v>
      </c>
      <c r="AX32" s="103">
        <f>'Проверочная  таблица'!LC33+'Проверочная  таблица'!LK33</f>
        <v>157587700</v>
      </c>
      <c r="AY32" s="101">
        <f>'Проверочная  таблица'!LG33+'Проверочная  таблица'!LO33</f>
        <v>126876803.75</v>
      </c>
      <c r="AZ32" s="103">
        <f>'Проверочная  таблица'!MI33</f>
        <v>0</v>
      </c>
      <c r="BA32" s="101">
        <f>'Проверочная  таблица'!MN33</f>
        <v>0</v>
      </c>
      <c r="BB32" s="101">
        <f>'Проверочная  таблица'!NM33</f>
        <v>137839400</v>
      </c>
      <c r="BC32" s="101">
        <f>'Проверочная  таблица'!NP33</f>
        <v>56897801.200000003</v>
      </c>
      <c r="BD32" s="103">
        <f>'Проверочная  таблица'!OG33</f>
        <v>0</v>
      </c>
      <c r="BE32" s="101">
        <f>'Проверочная  таблица'!ON33</f>
        <v>0</v>
      </c>
      <c r="BF32" s="103">
        <f>'Проверочная  таблица'!NS33+'Проверочная  таблица'!OI33</f>
        <v>0</v>
      </c>
      <c r="BG32" s="101">
        <f>'Проверочная  таблица'!NZ33+'Проверочная  таблица'!OP33</f>
        <v>0</v>
      </c>
      <c r="BH32" s="103">
        <f>'Проверочная  таблица'!NU33</f>
        <v>0</v>
      </c>
      <c r="BI32" s="101">
        <f>'Проверочная  таблица'!OB33</f>
        <v>0</v>
      </c>
      <c r="BJ32" s="103">
        <f>'Проверочная  таблица'!OK33+'Проверочная  таблица'!NW33</f>
        <v>0</v>
      </c>
      <c r="BK32" s="101">
        <f>'Проверочная  таблица'!OR33+'Проверочная  таблица'!OD33</f>
        <v>0</v>
      </c>
      <c r="BL32" s="103">
        <f>'Проверочная  таблица'!PW33+'Проверочная  таблица'!QC33</f>
        <v>0</v>
      </c>
      <c r="BM32" s="101">
        <f>'Проверочная  таблица'!PZ33+'Проверочная  таблица'!QF33</f>
        <v>0</v>
      </c>
      <c r="BN32" s="103">
        <f t="shared" si="41"/>
        <v>200233735.40000001</v>
      </c>
      <c r="BO32" s="101">
        <f t="shared" si="42"/>
        <v>109801197.73999999</v>
      </c>
      <c r="BP32" s="104">
        <f>'Проверочная  таблица'!RM33</f>
        <v>0</v>
      </c>
      <c r="BQ32" s="101">
        <f>'Проверочная  таблица'!RN33</f>
        <v>0</v>
      </c>
      <c r="BR32" s="100">
        <f>'Проверочная  таблица'!RO33</f>
        <v>74600</v>
      </c>
      <c r="BS32" s="100">
        <f>'Проверочная  таблица'!RP33</f>
        <v>25368</v>
      </c>
      <c r="BT32" s="280">
        <f>'Проверочная  таблица'!RQ33</f>
        <v>1611620</v>
      </c>
      <c r="BU32" s="170">
        <f>'Проверочная  таблица'!RR33</f>
        <v>0</v>
      </c>
      <c r="BV32" s="461">
        <f>'Проверочная  таблица'!RS33</f>
        <v>6012120</v>
      </c>
      <c r="BW32" s="170">
        <f>'Проверочная  таблица'!RT33</f>
        <v>4927498</v>
      </c>
      <c r="BX32" s="461">
        <f>'Проверочная  таблица'!RU33</f>
        <v>5996308</v>
      </c>
      <c r="BY32" s="170">
        <f>'Проверочная  таблица'!RV33</f>
        <v>4927502</v>
      </c>
      <c r="BZ32" s="103">
        <f>'Проверочная  таблица'!RY33</f>
        <v>163308644.41</v>
      </c>
      <c r="CA32" s="101">
        <f>'Проверочная  таблица'!SB33</f>
        <v>89486430.579999998</v>
      </c>
      <c r="CB32" s="103">
        <f>'Проверочная  таблица'!SC33</f>
        <v>7795442.9899999993</v>
      </c>
      <c r="CC32" s="101">
        <f>'Проверочная  таблица'!SD33</f>
        <v>0</v>
      </c>
      <c r="CD32" s="103">
        <f>'Проверочная  таблица'!SG33</f>
        <v>15435000</v>
      </c>
      <c r="CE32" s="101">
        <f>'Проверочная  таблица'!SJ33</f>
        <v>10434399.16</v>
      </c>
      <c r="CF32" s="103">
        <f t="shared" si="43"/>
        <v>609013320</v>
      </c>
      <c r="CG32" s="101">
        <f t="shared" si="44"/>
        <v>565135920</v>
      </c>
      <c r="CH32" s="103">
        <f>'Проверочная  таблица'!SO33</f>
        <v>172723320</v>
      </c>
      <c r="CI32" s="101">
        <f>'Проверочная  таблица'!SR33</f>
        <v>128845920</v>
      </c>
      <c r="CJ32" s="103">
        <f>'Проверочная  таблица'!ST33</f>
        <v>0</v>
      </c>
      <c r="CK32" s="101">
        <f>'Проверочная  таблица'!SW33</f>
        <v>0</v>
      </c>
      <c r="CL32" s="103">
        <f>'Проверочная  таблица'!SU33</f>
        <v>0</v>
      </c>
      <c r="CM32" s="101">
        <f>'Проверочная  таблица'!SX33</f>
        <v>0</v>
      </c>
      <c r="CN32" s="103">
        <f>'Проверочная  таблица'!SZ33+'Проверочная  таблица'!TD33</f>
        <v>436290000</v>
      </c>
      <c r="CO32" s="101">
        <f>'Проверочная  таблица'!TB33+'Проверочная  таблица'!TF33</f>
        <v>436290000</v>
      </c>
      <c r="CP32" s="103">
        <f>'Проверочная  таблица'!TM33+'Проверочная  таблица'!TS33</f>
        <v>0</v>
      </c>
      <c r="CQ32" s="101">
        <f>'Проверочная  таблица'!TP33+'Проверочная  таблица'!TV33</f>
        <v>0</v>
      </c>
      <c r="CR32" s="103">
        <f>'Проверочная  таблица'!UC33</f>
        <v>0</v>
      </c>
      <c r="CS32" s="101">
        <f>'Проверочная  таблица'!UF33</f>
        <v>0</v>
      </c>
      <c r="CT32" s="103">
        <f>'Проверочная  таблица'!UJ33</f>
        <v>0</v>
      </c>
      <c r="CU32" s="101">
        <f>'Проверочная  таблица'!UN33</f>
        <v>0</v>
      </c>
      <c r="CV32" s="103">
        <f>'Проверочная  таблица'!UI33</f>
        <v>0</v>
      </c>
      <c r="CW32" s="101">
        <f>'Проверочная  таблица'!UM33</f>
        <v>0</v>
      </c>
      <c r="CY32" s="937">
        <f t="shared" si="8"/>
        <v>200233.73540000001</v>
      </c>
      <c r="CZ32" s="937">
        <f t="shared" si="9"/>
        <v>109801.19773999999</v>
      </c>
    </row>
    <row r="33" spans="1:104" ht="25.5" customHeight="1" thickBot="1" x14ac:dyDescent="0.3">
      <c r="A33" s="160" t="s">
        <v>7</v>
      </c>
      <c r="B33" s="116">
        <f t="shared" ref="B33:E33" si="45">SUM(B31:B32)</f>
        <v>2062343835.1900001</v>
      </c>
      <c r="C33" s="114">
        <f t="shared" si="45"/>
        <v>1601865258.74</v>
      </c>
      <c r="D33" s="118">
        <f t="shared" si="45"/>
        <v>1118181864.0799999</v>
      </c>
      <c r="E33" s="116">
        <f t="shared" si="45"/>
        <v>818903162.21000004</v>
      </c>
      <c r="F33" s="117">
        <f t="shared" ref="F33:AY33" si="46">SUM(F31:F32)</f>
        <v>586293809.74999988</v>
      </c>
      <c r="G33" s="117">
        <f t="shared" si="46"/>
        <v>472771167.60999995</v>
      </c>
      <c r="H33" s="124">
        <f t="shared" ref="H33:I33" si="47">SUM(H31:H32)</f>
        <v>0</v>
      </c>
      <c r="I33" s="117">
        <f t="shared" si="47"/>
        <v>0</v>
      </c>
      <c r="J33" s="116">
        <f t="shared" ref="J33:K33" si="48">SUM(J31:J32)</f>
        <v>0</v>
      </c>
      <c r="K33" s="114">
        <f t="shared" si="48"/>
        <v>0</v>
      </c>
      <c r="L33" s="116">
        <f t="shared" si="46"/>
        <v>0</v>
      </c>
      <c r="M33" s="117">
        <f t="shared" si="46"/>
        <v>0</v>
      </c>
      <c r="N33" s="118">
        <f>SUM(N31:N32)</f>
        <v>0</v>
      </c>
      <c r="O33" s="790">
        <f>SUM(O31:O32)</f>
        <v>0</v>
      </c>
      <c r="P33" s="116">
        <f t="shared" ref="P33:Q33" si="49">SUM(P31:P32)</f>
        <v>0</v>
      </c>
      <c r="Q33" s="114">
        <f t="shared" si="49"/>
        <v>0</v>
      </c>
      <c r="R33" s="118">
        <f t="shared" ref="R33:W33" si="50">SUM(R31:R32)</f>
        <v>0</v>
      </c>
      <c r="S33" s="114">
        <f t="shared" si="50"/>
        <v>0</v>
      </c>
      <c r="T33" s="118">
        <f t="shared" si="50"/>
        <v>0</v>
      </c>
      <c r="U33" s="114">
        <f t="shared" si="50"/>
        <v>0</v>
      </c>
      <c r="V33" s="116">
        <f t="shared" si="50"/>
        <v>25000000</v>
      </c>
      <c r="W33" s="114">
        <f t="shared" si="50"/>
        <v>25000000</v>
      </c>
      <c r="X33" s="116">
        <f t="shared" ref="X33:Y33" si="51">SUM(X31:X32)</f>
        <v>0</v>
      </c>
      <c r="Y33" s="114">
        <f t="shared" si="51"/>
        <v>0</v>
      </c>
      <c r="Z33" s="116">
        <f t="shared" ref="Z33:AA33" si="52">SUM(Z31:Z32)</f>
        <v>108225985.53</v>
      </c>
      <c r="AA33" s="117">
        <f t="shared" si="52"/>
        <v>60825002.490000002</v>
      </c>
      <c r="AB33" s="116">
        <f t="shared" ref="AB33:AI33" si="53">SUM(AB31:AB32)</f>
        <v>36999000</v>
      </c>
      <c r="AC33" s="114">
        <f t="shared" si="53"/>
        <v>34773463.049999997</v>
      </c>
      <c r="AD33" s="116">
        <f t="shared" ref="AD33:AG33" si="54">SUM(AD31:AD32)</f>
        <v>0</v>
      </c>
      <c r="AE33" s="114">
        <f t="shared" si="54"/>
        <v>0</v>
      </c>
      <c r="AF33" s="116">
        <f t="shared" si="54"/>
        <v>0</v>
      </c>
      <c r="AG33" s="114">
        <f t="shared" si="54"/>
        <v>0</v>
      </c>
      <c r="AH33" s="116">
        <f t="shared" si="53"/>
        <v>0</v>
      </c>
      <c r="AI33" s="114">
        <f t="shared" si="53"/>
        <v>0</v>
      </c>
      <c r="AJ33" s="116">
        <f t="shared" si="46"/>
        <v>2692900</v>
      </c>
      <c r="AK33" s="114">
        <f t="shared" si="46"/>
        <v>2692900</v>
      </c>
      <c r="AL33" s="116">
        <f t="shared" si="46"/>
        <v>0</v>
      </c>
      <c r="AM33" s="114">
        <f t="shared" si="46"/>
        <v>0</v>
      </c>
      <c r="AN33" s="116">
        <f t="shared" ref="AN33:AO33" si="55">SUM(AN31:AN32)</f>
        <v>0</v>
      </c>
      <c r="AO33" s="114">
        <f t="shared" si="55"/>
        <v>0</v>
      </c>
      <c r="AP33" s="116">
        <f t="shared" ref="AP33:AQ33" si="56">SUM(AP31:AP32)</f>
        <v>0</v>
      </c>
      <c r="AQ33" s="114">
        <f t="shared" si="56"/>
        <v>0</v>
      </c>
      <c r="AR33" s="116">
        <f t="shared" ref="AR33:AS33" si="57">SUM(AR31:AR32)</f>
        <v>16402168.800000001</v>
      </c>
      <c r="AS33" s="114">
        <f t="shared" si="57"/>
        <v>7474119.4800000004</v>
      </c>
      <c r="AT33" s="116">
        <f t="shared" ref="AT33:AU33" si="58">SUM(AT31:AT32)</f>
        <v>0</v>
      </c>
      <c r="AU33" s="114">
        <f t="shared" si="58"/>
        <v>0</v>
      </c>
      <c r="AV33" s="116">
        <f t="shared" si="46"/>
        <v>0</v>
      </c>
      <c r="AW33" s="117">
        <f t="shared" si="46"/>
        <v>0</v>
      </c>
      <c r="AX33" s="116">
        <f t="shared" si="46"/>
        <v>204728600</v>
      </c>
      <c r="AY33" s="117">
        <f t="shared" si="46"/>
        <v>158468708.38</v>
      </c>
      <c r="AZ33" s="116">
        <f t="shared" ref="AZ33:BA33" si="59">SUM(AZ31:AZ32)</f>
        <v>0</v>
      </c>
      <c r="BA33" s="114">
        <f t="shared" si="59"/>
        <v>0</v>
      </c>
      <c r="BB33" s="114">
        <f t="shared" ref="BB33:BC33" si="60">SUM(BB31:BB32)</f>
        <v>137839400</v>
      </c>
      <c r="BC33" s="114">
        <f t="shared" si="60"/>
        <v>56897801.200000003</v>
      </c>
      <c r="BD33" s="116">
        <f t="shared" ref="BD33:BE33" si="61">SUM(BD31:BD32)</f>
        <v>0</v>
      </c>
      <c r="BE33" s="114">
        <f t="shared" si="61"/>
        <v>0</v>
      </c>
      <c r="BF33" s="116">
        <f t="shared" ref="BF33:BG33" si="62">SUM(BF31:BF32)</f>
        <v>0</v>
      </c>
      <c r="BG33" s="114">
        <f t="shared" si="62"/>
        <v>0</v>
      </c>
      <c r="BH33" s="116">
        <f t="shared" ref="BH33:BI33" si="63">SUM(BH31:BH32)</f>
        <v>0</v>
      </c>
      <c r="BI33" s="114">
        <f t="shared" si="63"/>
        <v>0</v>
      </c>
      <c r="BJ33" s="116">
        <f t="shared" ref="BJ33:BK33" si="64">SUM(BJ31:BJ32)</f>
        <v>0</v>
      </c>
      <c r="BK33" s="114">
        <f t="shared" si="64"/>
        <v>0</v>
      </c>
      <c r="BL33" s="116">
        <f t="shared" ref="BL33:BM33" si="65">SUM(BL31:BL32)</f>
        <v>0</v>
      </c>
      <c r="BM33" s="114">
        <f t="shared" si="65"/>
        <v>0</v>
      </c>
      <c r="BN33" s="116">
        <f t="shared" ref="BN33:CE33" si="66">SUM(BN31:BN32)</f>
        <v>233510051.11000001</v>
      </c>
      <c r="BO33" s="114">
        <f t="shared" si="66"/>
        <v>126109032.27</v>
      </c>
      <c r="BP33" s="118">
        <f t="shared" si="66"/>
        <v>0</v>
      </c>
      <c r="BQ33" s="117">
        <f t="shared" si="66"/>
        <v>0</v>
      </c>
      <c r="BR33" s="117">
        <f t="shared" si="66"/>
        <v>90600</v>
      </c>
      <c r="BS33" s="117">
        <f t="shared" si="66"/>
        <v>41368</v>
      </c>
      <c r="BT33" s="116">
        <f t="shared" si="66"/>
        <v>1611620</v>
      </c>
      <c r="BU33" s="117">
        <f t="shared" si="66"/>
        <v>0</v>
      </c>
      <c r="BV33" s="459">
        <f t="shared" si="66"/>
        <v>6758347</v>
      </c>
      <c r="BW33" s="117">
        <f t="shared" si="66"/>
        <v>5631424</v>
      </c>
      <c r="BX33" s="459">
        <f>SUM(BX31:BX32)</f>
        <v>7495385</v>
      </c>
      <c r="BY33" s="117">
        <f>SUM(BY31:BY32)</f>
        <v>6335354</v>
      </c>
      <c r="BZ33" s="116">
        <f t="shared" ref="BZ33:CC33" si="67">SUM(BZ31:BZ32)</f>
        <v>190650056.22</v>
      </c>
      <c r="CA33" s="114">
        <f t="shared" si="67"/>
        <v>102443137.53999999</v>
      </c>
      <c r="CB33" s="116">
        <f t="shared" si="67"/>
        <v>9379042.8899999987</v>
      </c>
      <c r="CC33" s="116">
        <f t="shared" si="67"/>
        <v>0</v>
      </c>
      <c r="CD33" s="116">
        <f t="shared" si="66"/>
        <v>17525000</v>
      </c>
      <c r="CE33" s="114">
        <f t="shared" si="66"/>
        <v>11657748.73</v>
      </c>
      <c r="CF33" s="118">
        <f t="shared" ref="CF33:CG33" si="68">SUM(CF31:CF32)</f>
        <v>710651920</v>
      </c>
      <c r="CG33" s="114">
        <f t="shared" si="68"/>
        <v>656853064.25999999</v>
      </c>
      <c r="CH33" s="116">
        <f t="shared" ref="CH33:CI33" si="69">SUM(CH31:CH32)</f>
        <v>204361920</v>
      </c>
      <c r="CI33" s="114">
        <f t="shared" si="69"/>
        <v>150563064.25999999</v>
      </c>
      <c r="CJ33" s="116">
        <f t="shared" ref="CJ33:CK33" si="70">SUM(CJ31:CJ32)</f>
        <v>0</v>
      </c>
      <c r="CK33" s="114">
        <f t="shared" si="70"/>
        <v>0</v>
      </c>
      <c r="CL33" s="116">
        <f t="shared" ref="CL33:CM33" si="71">SUM(CL31:CL32)</f>
        <v>0</v>
      </c>
      <c r="CM33" s="114">
        <f t="shared" si="71"/>
        <v>0</v>
      </c>
      <c r="CN33" s="116">
        <f t="shared" ref="CN33:CO33" si="72">SUM(CN31:CN32)</f>
        <v>506290000</v>
      </c>
      <c r="CO33" s="117">
        <f t="shared" si="72"/>
        <v>506290000</v>
      </c>
      <c r="CP33" s="116">
        <f t="shared" ref="CP33:CQ33" si="73">SUM(CP31:CP32)</f>
        <v>0</v>
      </c>
      <c r="CQ33" s="114">
        <f t="shared" si="73"/>
        <v>0</v>
      </c>
      <c r="CR33" s="116">
        <f t="shared" ref="CR33:CW33" si="74">SUM(CR31:CR32)</f>
        <v>0</v>
      </c>
      <c r="CS33" s="114">
        <f t="shared" si="74"/>
        <v>0</v>
      </c>
      <c r="CT33" s="116">
        <f t="shared" ref="CT33:CU33" si="75">SUM(CT31:CT32)</f>
        <v>0</v>
      </c>
      <c r="CU33" s="114">
        <f t="shared" si="75"/>
        <v>0</v>
      </c>
      <c r="CV33" s="116">
        <f t="shared" si="74"/>
        <v>0</v>
      </c>
      <c r="CW33" s="114">
        <f t="shared" si="74"/>
        <v>0</v>
      </c>
      <c r="CY33" s="937">
        <f t="shared" si="8"/>
        <v>233510.05111</v>
      </c>
      <c r="CZ33" s="937">
        <f t="shared" si="9"/>
        <v>126109.03227</v>
      </c>
    </row>
    <row r="34" spans="1:104" ht="25.5" customHeight="1" x14ac:dyDescent="0.25">
      <c r="A34" s="96"/>
      <c r="B34" s="158"/>
      <c r="C34" s="158"/>
      <c r="D34" s="125"/>
      <c r="E34" s="208"/>
      <c r="F34" s="125"/>
      <c r="G34" s="125"/>
      <c r="H34" s="129"/>
      <c r="I34" s="125"/>
      <c r="J34" s="205"/>
      <c r="K34" s="126"/>
      <c r="L34" s="205"/>
      <c r="M34" s="126"/>
      <c r="N34" s="128"/>
      <c r="O34" s="792"/>
      <c r="P34" s="205"/>
      <c r="Q34" s="126"/>
      <c r="R34" s="128"/>
      <c r="S34" s="126"/>
      <c r="T34" s="128"/>
      <c r="U34" s="126"/>
      <c r="V34" s="205"/>
      <c r="W34" s="126"/>
      <c r="X34" s="205"/>
      <c r="Y34" s="126"/>
      <c r="Z34" s="205"/>
      <c r="AA34" s="126"/>
      <c r="AB34" s="205"/>
      <c r="AC34" s="126"/>
      <c r="AD34" s="205"/>
      <c r="AE34" s="126"/>
      <c r="AF34" s="205"/>
      <c r="AG34" s="126"/>
      <c r="AH34" s="205"/>
      <c r="AI34" s="126"/>
      <c r="AJ34" s="205"/>
      <c r="AK34" s="126"/>
      <c r="AL34" s="205"/>
      <c r="AM34" s="126"/>
      <c r="AN34" s="205"/>
      <c r="AO34" s="126"/>
      <c r="AP34" s="205"/>
      <c r="AQ34" s="126"/>
      <c r="AR34" s="205"/>
      <c r="AS34" s="126"/>
      <c r="AT34" s="205"/>
      <c r="AU34" s="126"/>
      <c r="AV34" s="205"/>
      <c r="AW34" s="126"/>
      <c r="AX34" s="205"/>
      <c r="AY34" s="126"/>
      <c r="AZ34" s="205"/>
      <c r="BA34" s="126"/>
      <c r="BB34" s="127"/>
      <c r="BC34" s="126"/>
      <c r="BD34" s="205"/>
      <c r="BE34" s="126"/>
      <c r="BF34" s="205"/>
      <c r="BG34" s="126"/>
      <c r="BH34" s="205"/>
      <c r="BI34" s="126"/>
      <c r="BJ34" s="205"/>
      <c r="BK34" s="126"/>
      <c r="BL34" s="205"/>
      <c r="BM34" s="126"/>
      <c r="BN34" s="261"/>
      <c r="BO34" s="162"/>
      <c r="BP34" s="128"/>
      <c r="BQ34" s="126"/>
      <c r="BR34" s="125"/>
      <c r="BS34" s="125"/>
      <c r="BT34" s="208"/>
      <c r="BU34" s="125"/>
      <c r="BV34" s="129"/>
      <c r="BW34" s="125"/>
      <c r="BX34" s="129"/>
      <c r="BY34" s="125"/>
      <c r="BZ34" s="792"/>
      <c r="CA34" s="127"/>
      <c r="CB34" s="792"/>
      <c r="CC34" s="205"/>
      <c r="CD34" s="792"/>
      <c r="CE34" s="127"/>
      <c r="CF34" s="1111"/>
      <c r="CG34" s="162"/>
      <c r="CH34" s="205"/>
      <c r="CI34" s="126"/>
      <c r="CJ34" s="205"/>
      <c r="CK34" s="126"/>
      <c r="CL34" s="205"/>
      <c r="CM34" s="126"/>
      <c r="CN34" s="205"/>
      <c r="CO34" s="126"/>
      <c r="CP34" s="205"/>
      <c r="CQ34" s="126"/>
      <c r="CR34" s="205"/>
      <c r="CS34" s="126"/>
      <c r="CT34" s="205"/>
      <c r="CU34" s="126"/>
      <c r="CV34" s="205"/>
      <c r="CW34" s="126"/>
      <c r="CY34" s="937">
        <f t="shared" si="8"/>
        <v>0</v>
      </c>
      <c r="CZ34" s="937">
        <f t="shared" si="9"/>
        <v>0</v>
      </c>
    </row>
    <row r="35" spans="1:104" ht="25.5" customHeight="1" thickBot="1" x14ac:dyDescent="0.3">
      <c r="A35" s="106"/>
      <c r="B35" s="163"/>
      <c r="C35" s="163"/>
      <c r="D35" s="130"/>
      <c r="E35" s="209"/>
      <c r="F35" s="130"/>
      <c r="G35" s="130"/>
      <c r="H35" s="133"/>
      <c r="I35" s="130"/>
      <c r="J35" s="206"/>
      <c r="K35" s="131"/>
      <c r="L35" s="206"/>
      <c r="M35" s="131"/>
      <c r="N35" s="132"/>
      <c r="O35" s="206"/>
      <c r="P35" s="206"/>
      <c r="Q35" s="131"/>
      <c r="R35" s="132"/>
      <c r="S35" s="131"/>
      <c r="T35" s="132"/>
      <c r="U35" s="131"/>
      <c r="V35" s="206"/>
      <c r="W35" s="131"/>
      <c r="X35" s="206"/>
      <c r="Y35" s="131"/>
      <c r="Z35" s="206"/>
      <c r="AA35" s="131"/>
      <c r="AB35" s="206"/>
      <c r="AC35" s="131"/>
      <c r="AD35" s="206"/>
      <c r="AE35" s="131"/>
      <c r="AF35" s="206"/>
      <c r="AG35" s="131"/>
      <c r="AH35" s="206"/>
      <c r="AI35" s="131"/>
      <c r="AJ35" s="206"/>
      <c r="AK35" s="131"/>
      <c r="AL35" s="206"/>
      <c r="AM35" s="131"/>
      <c r="AN35" s="206"/>
      <c r="AO35" s="131"/>
      <c r="AP35" s="206"/>
      <c r="AQ35" s="131"/>
      <c r="AR35" s="206"/>
      <c r="AS35" s="131"/>
      <c r="AT35" s="206"/>
      <c r="AU35" s="131"/>
      <c r="AV35" s="206"/>
      <c r="AW35" s="131"/>
      <c r="AX35" s="206"/>
      <c r="AY35" s="131"/>
      <c r="AZ35" s="206"/>
      <c r="BA35" s="131"/>
      <c r="BB35" s="131"/>
      <c r="BC35" s="131"/>
      <c r="BD35" s="206"/>
      <c r="BE35" s="131"/>
      <c r="BF35" s="206"/>
      <c r="BG35" s="131"/>
      <c r="BH35" s="206"/>
      <c r="BI35" s="131"/>
      <c r="BJ35" s="206"/>
      <c r="BK35" s="131"/>
      <c r="BL35" s="206"/>
      <c r="BM35" s="131"/>
      <c r="BN35" s="209"/>
      <c r="BO35" s="130"/>
      <c r="BP35" s="132"/>
      <c r="BQ35" s="131"/>
      <c r="BR35" s="130"/>
      <c r="BS35" s="130"/>
      <c r="BT35" s="209"/>
      <c r="BU35" s="130"/>
      <c r="BV35" s="133"/>
      <c r="BW35" s="130"/>
      <c r="BX35" s="133"/>
      <c r="BY35" s="130"/>
      <c r="BZ35" s="206"/>
      <c r="CA35" s="131"/>
      <c r="CB35" s="206"/>
      <c r="CC35" s="206"/>
      <c r="CD35" s="206"/>
      <c r="CE35" s="131"/>
      <c r="CF35" s="133"/>
      <c r="CG35" s="130"/>
      <c r="CH35" s="206"/>
      <c r="CI35" s="131"/>
      <c r="CJ35" s="206"/>
      <c r="CK35" s="131"/>
      <c r="CL35" s="206"/>
      <c r="CM35" s="131"/>
      <c r="CN35" s="206"/>
      <c r="CO35" s="131"/>
      <c r="CP35" s="206"/>
      <c r="CQ35" s="131"/>
      <c r="CR35" s="206"/>
      <c r="CS35" s="131"/>
      <c r="CT35" s="206"/>
      <c r="CU35" s="131"/>
      <c r="CV35" s="206"/>
      <c r="CW35" s="131"/>
      <c r="CY35" s="937">
        <f t="shared" si="8"/>
        <v>0</v>
      </c>
      <c r="CZ35" s="937">
        <f t="shared" si="9"/>
        <v>0</v>
      </c>
    </row>
    <row r="36" spans="1:104" ht="25.5" customHeight="1" thickBot="1" x14ac:dyDescent="0.3">
      <c r="A36" s="160" t="s">
        <v>36</v>
      </c>
      <c r="B36" s="136">
        <f t="shared" ref="B36:E36" si="76">B29+B33</f>
        <v>4297368623.6499996</v>
      </c>
      <c r="C36" s="136">
        <f t="shared" si="76"/>
        <v>2861664486.25</v>
      </c>
      <c r="D36" s="110">
        <f t="shared" si="76"/>
        <v>2704169923.6500001</v>
      </c>
      <c r="E36" s="1453">
        <f t="shared" si="76"/>
        <v>1631552266.96</v>
      </c>
      <c r="F36" s="137">
        <f t="shared" ref="F36:M36" si="77">F29+F33</f>
        <v>798263276.51999986</v>
      </c>
      <c r="G36" s="134">
        <f t="shared" si="77"/>
        <v>641786815.81999993</v>
      </c>
      <c r="H36" s="135">
        <f t="shared" ref="H36:I36" si="78">H29+H33</f>
        <v>296336647.06</v>
      </c>
      <c r="I36" s="134">
        <f t="shared" si="78"/>
        <v>138180933.74000001</v>
      </c>
      <c r="J36" s="136">
        <f t="shared" ref="J36:K36" si="79">J29+J33</f>
        <v>0</v>
      </c>
      <c r="K36" s="137">
        <f t="shared" si="79"/>
        <v>0</v>
      </c>
      <c r="L36" s="136">
        <f t="shared" si="77"/>
        <v>0</v>
      </c>
      <c r="M36" s="137">
        <f t="shared" si="77"/>
        <v>0</v>
      </c>
      <c r="N36" s="138">
        <f>N29+N33</f>
        <v>5371400</v>
      </c>
      <c r="O36" s="136">
        <f>O29+O33</f>
        <v>2685699.99</v>
      </c>
      <c r="P36" s="136">
        <f t="shared" ref="P36:Q36" si="80">P29+P33</f>
        <v>4611300</v>
      </c>
      <c r="Q36" s="137">
        <f t="shared" si="80"/>
        <v>457273.29</v>
      </c>
      <c r="R36" s="138">
        <f t="shared" ref="R36:W36" si="81">R29+R33</f>
        <v>0</v>
      </c>
      <c r="S36" s="137">
        <f t="shared" si="81"/>
        <v>0</v>
      </c>
      <c r="T36" s="138">
        <f t="shared" si="81"/>
        <v>20000000</v>
      </c>
      <c r="U36" s="137">
        <f t="shared" si="81"/>
        <v>0</v>
      </c>
      <c r="V36" s="136">
        <f t="shared" si="81"/>
        <v>25000000</v>
      </c>
      <c r="W36" s="137">
        <f t="shared" si="81"/>
        <v>25000000</v>
      </c>
      <c r="X36" s="136">
        <f t="shared" ref="X36:Y36" si="82">X29+X33</f>
        <v>44645700</v>
      </c>
      <c r="Y36" s="137">
        <f t="shared" si="82"/>
        <v>44645700</v>
      </c>
      <c r="Z36" s="136">
        <f t="shared" ref="Z36:AA36" si="83">Z29+Z33</f>
        <v>170569700</v>
      </c>
      <c r="AA36" s="137">
        <f t="shared" si="83"/>
        <v>78230722.010000005</v>
      </c>
      <c r="AB36" s="136">
        <f t="shared" ref="AB36:AI36" si="84">AB29+AB33</f>
        <v>44878700</v>
      </c>
      <c r="AC36" s="137">
        <f t="shared" si="84"/>
        <v>34773463.049999997</v>
      </c>
      <c r="AD36" s="136">
        <f t="shared" si="84"/>
        <v>10550900</v>
      </c>
      <c r="AE36" s="137">
        <f t="shared" si="84"/>
        <v>8036778.5099999998</v>
      </c>
      <c r="AF36" s="136">
        <f t="shared" si="84"/>
        <v>7601900</v>
      </c>
      <c r="AG36" s="137">
        <f t="shared" si="84"/>
        <v>0</v>
      </c>
      <c r="AH36" s="136">
        <f t="shared" si="84"/>
        <v>3003700</v>
      </c>
      <c r="AI36" s="137">
        <f t="shared" si="84"/>
        <v>1414273.3299999998</v>
      </c>
      <c r="AJ36" s="136">
        <f t="shared" ref="AJ36:AQ36" si="85">AJ29+AJ33</f>
        <v>2692900</v>
      </c>
      <c r="AK36" s="137">
        <f t="shared" si="85"/>
        <v>2692900</v>
      </c>
      <c r="AL36" s="136">
        <f t="shared" si="85"/>
        <v>15837199.900000002</v>
      </c>
      <c r="AM36" s="137">
        <f t="shared" si="85"/>
        <v>13635713.570000002</v>
      </c>
      <c r="AN36" s="136">
        <f t="shared" si="85"/>
        <v>21705700</v>
      </c>
      <c r="AO36" s="137">
        <f t="shared" si="85"/>
        <v>2592884.21</v>
      </c>
      <c r="AP36" s="136">
        <f t="shared" si="85"/>
        <v>35012200</v>
      </c>
      <c r="AQ36" s="137">
        <f t="shared" si="85"/>
        <v>34883116.660000004</v>
      </c>
      <c r="AR36" s="136">
        <f t="shared" ref="AR36:AS36" si="86">AR29+AR33</f>
        <v>65047500</v>
      </c>
      <c r="AS36" s="137">
        <f t="shared" si="86"/>
        <v>28531216.07</v>
      </c>
      <c r="AT36" s="136">
        <f t="shared" ref="AT36:AU36" si="87">AT29+AT33</f>
        <v>0</v>
      </c>
      <c r="AU36" s="137">
        <f t="shared" si="87"/>
        <v>0</v>
      </c>
      <c r="AV36" s="136">
        <f t="shared" ref="AV36:AY36" si="88">AV29+AV33</f>
        <v>190567200</v>
      </c>
      <c r="AW36" s="137">
        <f t="shared" si="88"/>
        <v>150831310.75999999</v>
      </c>
      <c r="AX36" s="136">
        <f t="shared" si="88"/>
        <v>301870082.17000002</v>
      </c>
      <c r="AY36" s="137">
        <f t="shared" si="88"/>
        <v>235886211.88</v>
      </c>
      <c r="AZ36" s="136">
        <f>AZ29+AZ33</f>
        <v>19993600</v>
      </c>
      <c r="BA36" s="137">
        <f>BA29+BA33</f>
        <v>10734480.310000001</v>
      </c>
      <c r="BB36" s="137">
        <f t="shared" ref="BB36:BC36" si="89">BB29+BB33</f>
        <v>137839400</v>
      </c>
      <c r="BC36" s="137">
        <f t="shared" si="89"/>
        <v>56897801.200000003</v>
      </c>
      <c r="BD36" s="136">
        <f>BD29+BD33</f>
        <v>28724600</v>
      </c>
      <c r="BE36" s="137">
        <f>BE29+BE33</f>
        <v>11283835.609999999</v>
      </c>
      <c r="BF36" s="136">
        <f t="shared" ref="BF36:BG36" si="90">BF29+BF33</f>
        <v>0</v>
      </c>
      <c r="BG36" s="137">
        <f t="shared" si="90"/>
        <v>0</v>
      </c>
      <c r="BH36" s="136">
        <f t="shared" ref="BH36:BI36" si="91">BH29+BH33</f>
        <v>286389500</v>
      </c>
      <c r="BI36" s="137">
        <f t="shared" si="91"/>
        <v>25494204.719999999</v>
      </c>
      <c r="BJ36" s="136">
        <f t="shared" ref="BJ36:BK36" si="92">BJ29+BJ33</f>
        <v>127736418</v>
      </c>
      <c r="BK36" s="137">
        <f t="shared" si="92"/>
        <v>82876932.230000004</v>
      </c>
      <c r="BL36" s="136">
        <f t="shared" ref="BL36:BM36" si="93">BL29+BL33</f>
        <v>39920400</v>
      </c>
      <c r="BM36" s="137">
        <f t="shared" si="93"/>
        <v>0</v>
      </c>
      <c r="BN36" s="207">
        <f t="shared" ref="BN36:CE36" si="94">BN29+BN33</f>
        <v>451953700</v>
      </c>
      <c r="BO36" s="134">
        <f t="shared" si="94"/>
        <v>237808612.19</v>
      </c>
      <c r="BP36" s="138">
        <f t="shared" si="94"/>
        <v>32076000</v>
      </c>
      <c r="BQ36" s="137">
        <f t="shared" si="94"/>
        <v>20852690.699999999</v>
      </c>
      <c r="BR36" s="134">
        <f t="shared" si="94"/>
        <v>136800</v>
      </c>
      <c r="BS36" s="134">
        <f t="shared" si="94"/>
        <v>49857.5</v>
      </c>
      <c r="BT36" s="207">
        <f t="shared" si="94"/>
        <v>8573600</v>
      </c>
      <c r="BU36" s="134">
        <f t="shared" si="94"/>
        <v>4223556</v>
      </c>
      <c r="BV36" s="135">
        <f t="shared" si="94"/>
        <v>8208500</v>
      </c>
      <c r="BW36" s="134">
        <f t="shared" si="94"/>
        <v>6335350</v>
      </c>
      <c r="BX36" s="135">
        <f>BX29+BX33</f>
        <v>9744000</v>
      </c>
      <c r="BY36" s="134">
        <f>BY29+BY33</f>
        <v>8447132</v>
      </c>
      <c r="BZ36" s="207">
        <f t="shared" ref="BZ36:CC36" si="95">BZ29+BZ33</f>
        <v>332574500</v>
      </c>
      <c r="CA36" s="134">
        <f t="shared" si="95"/>
        <v>167420955.91</v>
      </c>
      <c r="CB36" s="207">
        <f t="shared" si="95"/>
        <v>17719300</v>
      </c>
      <c r="CC36" s="207">
        <f t="shared" si="95"/>
        <v>0</v>
      </c>
      <c r="CD36" s="207">
        <f t="shared" si="94"/>
        <v>42921000</v>
      </c>
      <c r="CE36" s="134">
        <f t="shared" si="94"/>
        <v>30479070.080000002</v>
      </c>
      <c r="CF36" s="135">
        <f t="shared" ref="CF36:CG36" si="96">CF29+CF33</f>
        <v>1141245000</v>
      </c>
      <c r="CG36" s="134">
        <f t="shared" si="96"/>
        <v>992303607.10000002</v>
      </c>
      <c r="CH36" s="136">
        <f t="shared" ref="CH36:CI36" si="97">CH29+CH33</f>
        <v>458955000</v>
      </c>
      <c r="CI36" s="137">
        <f t="shared" si="97"/>
        <v>332262886.93000007</v>
      </c>
      <c r="CJ36" s="136">
        <f t="shared" ref="CJ36:CK36" si="98">CJ29+CJ33</f>
        <v>0</v>
      </c>
      <c r="CK36" s="137">
        <f t="shared" si="98"/>
        <v>0</v>
      </c>
      <c r="CL36" s="136">
        <f t="shared" ref="CL36:CM36" si="99">CL29+CL33</f>
        <v>0</v>
      </c>
      <c r="CM36" s="137">
        <f t="shared" si="99"/>
        <v>0</v>
      </c>
      <c r="CN36" s="136">
        <f t="shared" ref="CN36:CQ36" si="100">CN29+CN33</f>
        <v>506290000</v>
      </c>
      <c r="CO36" s="137">
        <f t="shared" si="100"/>
        <v>506290000</v>
      </c>
      <c r="CP36" s="136">
        <f t="shared" si="100"/>
        <v>170000000</v>
      </c>
      <c r="CQ36" s="137">
        <f t="shared" si="100"/>
        <v>147750720.16999999</v>
      </c>
      <c r="CR36" s="136">
        <f t="shared" ref="CR36:CW36" si="101">CR29+CR33</f>
        <v>1000000</v>
      </c>
      <c r="CS36" s="137">
        <f t="shared" si="101"/>
        <v>1000000</v>
      </c>
      <c r="CT36" s="136">
        <f t="shared" ref="CT36:CU36" si="102">CT29+CT33</f>
        <v>0</v>
      </c>
      <c r="CU36" s="137">
        <f t="shared" si="102"/>
        <v>0</v>
      </c>
      <c r="CV36" s="136">
        <f t="shared" si="101"/>
        <v>5000000</v>
      </c>
      <c r="CW36" s="137">
        <f t="shared" si="101"/>
        <v>5000000</v>
      </c>
      <c r="CY36" s="937">
        <f t="shared" si="8"/>
        <v>419877.7</v>
      </c>
      <c r="CZ36" s="937">
        <f t="shared" si="9"/>
        <v>216955.92149000001</v>
      </c>
    </row>
    <row r="37" spans="1:104" s="164" customFormat="1" ht="16.5" x14ac:dyDescent="0.25">
      <c r="A37" s="87"/>
      <c r="B37" s="159">
        <f>B36/1000-'Федеральные  средства'!B65</f>
        <v>0</v>
      </c>
      <c r="C37" s="159">
        <f>C36/1000-'Федеральные  средства'!C65</f>
        <v>0</v>
      </c>
      <c r="D37" s="159">
        <f>D36/1000-'Федеральные  средства'!B39</f>
        <v>0</v>
      </c>
      <c r="E37" s="159">
        <f>E36/1000-'Федеральные  средства'!C39</f>
        <v>0</v>
      </c>
      <c r="F37" s="139"/>
      <c r="G37" s="139"/>
      <c r="H37" s="139"/>
      <c r="I37" s="139"/>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59">
        <f>BN36/1000-'Федеральные  средства'!B50</f>
        <v>0</v>
      </c>
      <c r="BO37" s="159">
        <f>BO36/1000-'Федеральные  средства'!C50</f>
        <v>0</v>
      </c>
      <c r="BP37" s="87"/>
      <c r="BQ37" s="159"/>
      <c r="BR37" s="140"/>
      <c r="BS37" s="140"/>
      <c r="BT37" s="159"/>
      <c r="BU37" s="159"/>
      <c r="BV37" s="159"/>
      <c r="BW37" s="159"/>
      <c r="BX37" s="159"/>
      <c r="BY37" s="159"/>
      <c r="BZ37" s="87"/>
      <c r="CA37" s="87"/>
      <c r="CB37" s="87"/>
      <c r="CC37" s="87"/>
      <c r="CD37" s="87"/>
      <c r="CE37" s="87"/>
      <c r="CF37" s="159">
        <f>CF36/1000-'Федеральные  средства'!B62</f>
        <v>0</v>
      </c>
      <c r="CG37" s="159">
        <f>CG36/1000-'Федеральные  средства'!C62</f>
        <v>0</v>
      </c>
      <c r="CH37" s="87"/>
      <c r="CI37" s="159"/>
      <c r="CJ37" s="87"/>
      <c r="CK37" s="159"/>
      <c r="CL37" s="87"/>
      <c r="CM37" s="159"/>
      <c r="CN37" s="87"/>
      <c r="CO37" s="159"/>
      <c r="CP37" s="87"/>
      <c r="CQ37" s="159"/>
      <c r="CR37" s="87"/>
      <c r="CS37" s="159"/>
      <c r="CT37" s="87"/>
      <c r="CU37" s="159"/>
      <c r="CV37" s="87"/>
      <c r="CW37" s="159"/>
    </row>
    <row r="38" spans="1:104" s="167" customFormat="1" ht="26.45" customHeight="1" x14ac:dyDescent="0.2">
      <c r="A38" s="1026" t="s">
        <v>429</v>
      </c>
      <c r="B38" s="1405">
        <f>D38+BN36+CF36</f>
        <v>3499105347.1300001</v>
      </c>
      <c r="C38" s="1405"/>
      <c r="D38" s="1404">
        <f>D36-F36</f>
        <v>1905906647.1300001</v>
      </c>
      <c r="E38" s="1404">
        <f>E36-G36</f>
        <v>989765451.1400001</v>
      </c>
      <c r="F38" s="1895" t="s">
        <v>683</v>
      </c>
      <c r="G38" s="1842"/>
      <c r="H38" s="1841" t="s">
        <v>534</v>
      </c>
      <c r="I38" s="1842"/>
      <c r="J38" s="1841" t="s">
        <v>477</v>
      </c>
      <c r="K38" s="1842"/>
      <c r="L38" s="1841" t="s">
        <v>478</v>
      </c>
      <c r="M38" s="1842"/>
      <c r="N38" s="1841" t="s">
        <v>479</v>
      </c>
      <c r="O38" s="1842"/>
      <c r="P38" s="1841" t="s">
        <v>481</v>
      </c>
      <c r="Q38" s="1842"/>
      <c r="R38" s="1841" t="s">
        <v>482</v>
      </c>
      <c r="S38" s="1842"/>
      <c r="T38" s="1841" t="s">
        <v>820</v>
      </c>
      <c r="U38" s="1842"/>
      <c r="V38" s="1841" t="s">
        <v>483</v>
      </c>
      <c r="W38" s="1842"/>
      <c r="X38" s="1841" t="s">
        <v>484</v>
      </c>
      <c r="Y38" s="1842"/>
      <c r="Z38" s="1841" t="s">
        <v>485</v>
      </c>
      <c r="AA38" s="1842"/>
      <c r="AB38" s="1841" t="s">
        <v>486</v>
      </c>
      <c r="AC38" s="1842"/>
      <c r="AD38" s="1841" t="s">
        <v>702</v>
      </c>
      <c r="AE38" s="1842"/>
      <c r="AF38" s="1841" t="s">
        <v>905</v>
      </c>
      <c r="AG38" s="1842"/>
      <c r="AH38" s="1841" t="s">
        <v>836</v>
      </c>
      <c r="AI38" s="1842"/>
      <c r="AJ38" s="1841" t="s">
        <v>487</v>
      </c>
      <c r="AK38" s="1842"/>
      <c r="AL38" s="1841" t="s">
        <v>488</v>
      </c>
      <c r="AM38" s="1842"/>
      <c r="AN38" s="1841" t="s">
        <v>489</v>
      </c>
      <c r="AO38" s="1842"/>
      <c r="AP38" s="1841" t="s">
        <v>725</v>
      </c>
      <c r="AQ38" s="1842"/>
      <c r="AR38" s="1841" t="s">
        <v>752</v>
      </c>
      <c r="AS38" s="1842"/>
      <c r="AT38" s="1841" t="s">
        <v>926</v>
      </c>
      <c r="AU38" s="1842"/>
      <c r="AV38" s="1841" t="s">
        <v>490</v>
      </c>
      <c r="AW38" s="1842"/>
      <c r="AX38" s="1841" t="s">
        <v>573</v>
      </c>
      <c r="AY38" s="1842"/>
      <c r="AZ38" s="1841" t="s">
        <v>588</v>
      </c>
      <c r="BA38" s="1842"/>
      <c r="BB38" s="1841" t="s">
        <v>480</v>
      </c>
      <c r="BC38" s="1842"/>
      <c r="BD38" s="1841" t="s">
        <v>585</v>
      </c>
      <c r="BE38" s="1842"/>
      <c r="BF38" s="1841" t="s">
        <v>666</v>
      </c>
      <c r="BG38" s="1842"/>
      <c r="BH38" s="1841" t="s">
        <v>811</v>
      </c>
      <c r="BI38" s="1842"/>
      <c r="BJ38" s="1841" t="s">
        <v>591</v>
      </c>
      <c r="BK38" s="1842"/>
      <c r="BL38" s="1841" t="s">
        <v>852</v>
      </c>
      <c r="BM38" s="1842"/>
      <c r="BN38" s="263"/>
      <c r="BO38" s="264"/>
      <c r="BP38" s="1841" t="s">
        <v>172</v>
      </c>
      <c r="BQ38" s="1842"/>
      <c r="BR38" s="1841" t="s">
        <v>173</v>
      </c>
      <c r="BS38" s="1842"/>
      <c r="BT38" s="1650" t="s">
        <v>213</v>
      </c>
      <c r="BU38" s="1652"/>
      <c r="BV38" s="1650" t="s">
        <v>171</v>
      </c>
      <c r="BW38" s="1652"/>
      <c r="BX38" s="1650" t="s">
        <v>286</v>
      </c>
      <c r="BY38" s="1652"/>
      <c r="BZ38" s="1847" t="s">
        <v>717</v>
      </c>
      <c r="CA38" s="1848"/>
      <c r="CB38" s="1847" t="s">
        <v>733</v>
      </c>
      <c r="CC38" s="1848"/>
      <c r="CD38" s="1847" t="s">
        <v>174</v>
      </c>
      <c r="CE38" s="1848"/>
      <c r="CF38" s="263"/>
      <c r="CG38" s="264"/>
      <c r="CH38" s="1847" t="s">
        <v>789</v>
      </c>
      <c r="CI38" s="1848"/>
      <c r="CJ38" s="1847" t="s">
        <v>912</v>
      </c>
      <c r="CK38" s="1848"/>
      <c r="CL38" s="1847" t="s">
        <v>937</v>
      </c>
      <c r="CM38" s="1848"/>
      <c r="CN38" s="1847" t="s">
        <v>825</v>
      </c>
      <c r="CO38" s="1848"/>
      <c r="CP38" s="1847" t="s">
        <v>740</v>
      </c>
      <c r="CQ38" s="1848"/>
      <c r="CR38" s="1847" t="s">
        <v>549</v>
      </c>
      <c r="CS38" s="1848"/>
      <c r="CT38" s="1847" t="s">
        <v>915</v>
      </c>
      <c r="CU38" s="1848"/>
      <c r="CV38" s="1847" t="s">
        <v>555</v>
      </c>
      <c r="CW38" s="1848"/>
    </row>
    <row r="39" spans="1:104" s="938" customFormat="1" ht="49.5" x14ac:dyDescent="0.4">
      <c r="A39" s="1406" t="s">
        <v>782</v>
      </c>
      <c r="B39" s="1407"/>
      <c r="C39" s="1407">
        <f>G36</f>
        <v>641786815.81999993</v>
      </c>
      <c r="D39" s="1893" t="s">
        <v>781</v>
      </c>
      <c r="E39" s="1894"/>
    </row>
    <row r="40" spans="1:104" ht="18.600000000000001" customHeight="1" x14ac:dyDescent="0.25">
      <c r="C40" s="1025"/>
      <c r="D40" s="1409">
        <f>D36-Субсидия!E505</f>
        <v>0</v>
      </c>
      <c r="E40" s="1409">
        <f>E36-Субсидия!F505</f>
        <v>0</v>
      </c>
    </row>
    <row r="41" spans="1:104" ht="16.5" x14ac:dyDescent="0.25">
      <c r="A41" s="1435" t="s">
        <v>799</v>
      </c>
      <c r="B41" s="1407">
        <f>D38+BN36+CF36</f>
        <v>3499105347.1300001</v>
      </c>
      <c r="C41" s="1407">
        <f>E38+BO36+CG36</f>
        <v>2219877670.4300003</v>
      </c>
    </row>
    <row r="42" spans="1:104" ht="16.5" x14ac:dyDescent="0.25">
      <c r="A42" s="1436"/>
      <c r="B42" s="1437"/>
      <c r="C42" s="1437"/>
    </row>
    <row r="43" spans="1:104" ht="31.5" x14ac:dyDescent="0.25">
      <c r="A43" s="1406" t="s">
        <v>800</v>
      </c>
      <c r="B43" s="1407">
        <f>B41</f>
        <v>3499105347.1300001</v>
      </c>
      <c r="C43" s="1407">
        <f>C41</f>
        <v>2219877670.4300003</v>
      </c>
    </row>
    <row r="44" spans="1:104" ht="15.75" x14ac:dyDescent="0.25">
      <c r="C44" s="1439"/>
    </row>
    <row r="45" spans="1:104" ht="15.75" x14ac:dyDescent="0.25">
      <c r="C45" s="1438">
        <f>C44-C43</f>
        <v>-2219877670.4300003</v>
      </c>
    </row>
  </sheetData>
  <mergeCells count="117">
    <mergeCell ref="CT8:CW8"/>
    <mergeCell ref="CT38:CU38"/>
    <mergeCell ref="CT9:CU9"/>
    <mergeCell ref="CV9:CW9"/>
    <mergeCell ref="AN8:AU8"/>
    <mergeCell ref="AT9:AU9"/>
    <mergeCell ref="AT38:AU38"/>
    <mergeCell ref="BN7:BQ7"/>
    <mergeCell ref="BZ8:CA9"/>
    <mergeCell ref="CR8:CS9"/>
    <mergeCell ref="BZ38:CA38"/>
    <mergeCell ref="BX8:BY9"/>
    <mergeCell ref="BR8:BS9"/>
    <mergeCell ref="CH8:CI9"/>
    <mergeCell ref="CH38:CI38"/>
    <mergeCell ref="BH38:BI38"/>
    <mergeCell ref="BX38:BY38"/>
    <mergeCell ref="BT8:BU9"/>
    <mergeCell ref="BT38:BU38"/>
    <mergeCell ref="CJ9:CK9"/>
    <mergeCell ref="CL9:CM9"/>
    <mergeCell ref="CL38:CM38"/>
    <mergeCell ref="CJ8:CM8"/>
    <mergeCell ref="AR9:AS9"/>
    <mergeCell ref="AR38:AS38"/>
    <mergeCell ref="BH9:BI9"/>
    <mergeCell ref="BV8:BW9"/>
    <mergeCell ref="BL9:BM9"/>
    <mergeCell ref="BL38:BM38"/>
    <mergeCell ref="BL8:BM8"/>
    <mergeCell ref="BP8:BQ9"/>
    <mergeCell ref="Z38:AA38"/>
    <mergeCell ref="AF38:AG38"/>
    <mergeCell ref="AF8:AG9"/>
    <mergeCell ref="BD8:BE8"/>
    <mergeCell ref="BN8:BN10"/>
    <mergeCell ref="BF38:BG38"/>
    <mergeCell ref="BD9:BE9"/>
    <mergeCell ref="BD38:BE38"/>
    <mergeCell ref="BR38:BS38"/>
    <mergeCell ref="BV38:BW38"/>
    <mergeCell ref="BO8:BO10"/>
    <mergeCell ref="BJ9:BK9"/>
    <mergeCell ref="BJ38:BK38"/>
    <mergeCell ref="BP38:BQ38"/>
    <mergeCell ref="D39:E39"/>
    <mergeCell ref="AX8:AY8"/>
    <mergeCell ref="BB8:BC8"/>
    <mergeCell ref="BB9:BC9"/>
    <mergeCell ref="BB38:BC38"/>
    <mergeCell ref="AJ38:AK38"/>
    <mergeCell ref="AL8:AM9"/>
    <mergeCell ref="AZ9:BA9"/>
    <mergeCell ref="AZ38:BA38"/>
    <mergeCell ref="AN38:AO38"/>
    <mergeCell ref="AV38:AW38"/>
    <mergeCell ref="AZ8:BA8"/>
    <mergeCell ref="AP9:AQ9"/>
    <mergeCell ref="AD38:AE38"/>
    <mergeCell ref="V38:W38"/>
    <mergeCell ref="R38:S38"/>
    <mergeCell ref="F38:G38"/>
    <mergeCell ref="L38:M38"/>
    <mergeCell ref="J38:K38"/>
    <mergeCell ref="H38:I38"/>
    <mergeCell ref="N38:O38"/>
    <mergeCell ref="P38:Q38"/>
    <mergeCell ref="AH38:AI38"/>
    <mergeCell ref="AP38:AQ38"/>
    <mergeCell ref="A6:A10"/>
    <mergeCell ref="D8:D10"/>
    <mergeCell ref="E8:E10"/>
    <mergeCell ref="B6:C9"/>
    <mergeCell ref="BF9:BG9"/>
    <mergeCell ref="AJ8:AK9"/>
    <mergeCell ref="F8:G9"/>
    <mergeCell ref="Z8:AA9"/>
    <mergeCell ref="AN9:AO9"/>
    <mergeCell ref="AV8:AW9"/>
    <mergeCell ref="X8:Y9"/>
    <mergeCell ref="P9:Q9"/>
    <mergeCell ref="AB8:AC9"/>
    <mergeCell ref="J9:K9"/>
    <mergeCell ref="N8:O9"/>
    <mergeCell ref="L9:M9"/>
    <mergeCell ref="H8:I9"/>
    <mergeCell ref="J8:M8"/>
    <mergeCell ref="V9:W9"/>
    <mergeCell ref="AH8:AI9"/>
    <mergeCell ref="AD8:AE9"/>
    <mergeCell ref="P8:U8"/>
    <mergeCell ref="T9:U9"/>
    <mergeCell ref="V8:W8"/>
    <mergeCell ref="T38:U38"/>
    <mergeCell ref="D7:M7"/>
    <mergeCell ref="CY10:CZ10"/>
    <mergeCell ref="CD38:CE38"/>
    <mergeCell ref="CF8:CF10"/>
    <mergeCell ref="CG8:CG10"/>
    <mergeCell ref="CD8:CE9"/>
    <mergeCell ref="AL38:AM38"/>
    <mergeCell ref="CR38:CS38"/>
    <mergeCell ref="CV38:CW38"/>
    <mergeCell ref="CN8:CO8"/>
    <mergeCell ref="CN38:CO38"/>
    <mergeCell ref="CN9:CO9"/>
    <mergeCell ref="CB8:CC9"/>
    <mergeCell ref="CB38:CC38"/>
    <mergeCell ref="CP8:CQ9"/>
    <mergeCell ref="CP38:CQ38"/>
    <mergeCell ref="AX9:AY9"/>
    <mergeCell ref="AX38:AY38"/>
    <mergeCell ref="CJ38:CK38"/>
    <mergeCell ref="R9:S9"/>
    <mergeCell ref="AB38:AC38"/>
    <mergeCell ref="CF7:CW7"/>
    <mergeCell ref="X38:Y38"/>
  </mergeCells>
  <phoneticPr fontId="0" type="noConversion"/>
  <pageMargins left="0.78740157480314965" right="0.39370078740157483" top="0.78740157480314965" bottom="0.78740157480314965" header="0.51181102362204722" footer="0.51181102362204722"/>
  <pageSetup paperSize="9" scale="41" fitToWidth="15" orientation="landscape" r:id="rId1"/>
  <headerFooter alignWithMargins="0">
    <oddFooter>&amp;L&amp;P&amp;R&amp;Z&amp;F&amp;A</oddFooter>
  </headerFooter>
  <colBreaks count="6" manualBreakCount="6">
    <brk id="13" max="37" man="1"/>
    <brk id="25" max="37" man="1"/>
    <brk id="37" max="37" man="1"/>
    <brk id="59" max="37" man="1"/>
    <brk id="71" max="37" man="1"/>
    <brk id="97"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5">
    <pageSetUpPr fitToPage="1"/>
  </sheetPr>
  <dimension ref="A2:C65"/>
  <sheetViews>
    <sheetView topLeftCell="A2" zoomScaleNormal="100" workbookViewId="0">
      <pane xSplit="1" ySplit="5" topLeftCell="B60" activePane="bottomRight" state="frozen"/>
      <selection activeCell="A2" sqref="A2"/>
      <selection pane="topRight" activeCell="B2" sqref="B2"/>
      <selection pane="bottomLeft" activeCell="A6" sqref="A6"/>
      <selection pane="bottomRight" activeCell="C59" sqref="C59"/>
    </sheetView>
  </sheetViews>
  <sheetFormatPr defaultColWidth="9.140625" defaultRowHeight="12.75" x14ac:dyDescent="0.2"/>
  <cols>
    <col min="1" max="1" width="80.85546875" style="373" customWidth="1"/>
    <col min="2" max="2" width="16.85546875" style="356" customWidth="1"/>
    <col min="3" max="3" width="16.5703125" style="356" customWidth="1"/>
    <col min="4" max="16384" width="9.140625" style="356"/>
  </cols>
  <sheetData>
    <row r="2" spans="1:3" ht="15" x14ac:dyDescent="0.2">
      <c r="A2" s="1902" t="s">
        <v>680</v>
      </c>
      <c r="B2" s="1902"/>
      <c r="C2" s="1902"/>
    </row>
    <row r="3" spans="1:3" ht="15" x14ac:dyDescent="0.25">
      <c r="A3" s="1903" t="str">
        <f>'Федеральные  средства  по  МО'!F3</f>
        <v>ПО  СОСТОЯНИЮ  НА  1  ОКТЯБРЯ  2021  ГОДА</v>
      </c>
      <c r="B3" s="1903"/>
      <c r="C3" s="1903"/>
    </row>
    <row r="4" spans="1:3" ht="15" x14ac:dyDescent="0.2">
      <c r="A4" s="489"/>
      <c r="B4" s="489"/>
      <c r="C4" s="489"/>
    </row>
    <row r="5" spans="1:3" ht="15" x14ac:dyDescent="0.2">
      <c r="C5" s="490" t="s">
        <v>2</v>
      </c>
    </row>
    <row r="6" spans="1:3" ht="15" x14ac:dyDescent="0.2">
      <c r="A6" s="168" t="s">
        <v>159</v>
      </c>
      <c r="B6" s="1023" t="s">
        <v>13</v>
      </c>
      <c r="C6" s="218" t="s">
        <v>4</v>
      </c>
    </row>
    <row r="7" spans="1:3" ht="15" x14ac:dyDescent="0.2">
      <c r="A7" s="168" t="s">
        <v>3</v>
      </c>
      <c r="B7" s="179"/>
      <c r="C7" s="218"/>
    </row>
    <row r="8" spans="1:3" ht="165.75" x14ac:dyDescent="0.2">
      <c r="A8" s="482" t="s">
        <v>419</v>
      </c>
      <c r="B8" s="491">
        <f>'Проверочная  таблица'!DT37/1000</f>
        <v>0</v>
      </c>
      <c r="C8" s="491">
        <f>'Проверочная  таблица'!EA37/1000</f>
        <v>0</v>
      </c>
    </row>
    <row r="9" spans="1:3" ht="127.5" x14ac:dyDescent="0.2">
      <c r="A9" s="482" t="s">
        <v>420</v>
      </c>
      <c r="B9" s="491">
        <f>'Проверочная  таблица'!DV37/1000</f>
        <v>0</v>
      </c>
      <c r="C9" s="491">
        <f>'Проверочная  таблица'!EC37/1000</f>
        <v>0</v>
      </c>
    </row>
    <row r="10" spans="1:3" ht="140.25" x14ac:dyDescent="0.2">
      <c r="A10" s="482" t="s">
        <v>563</v>
      </c>
      <c r="B10" s="491">
        <f>'Проверочная  таблица'!NM37/1000</f>
        <v>137839.4</v>
      </c>
      <c r="C10" s="491">
        <f>'Проверочная  таблица'!NP37/1000</f>
        <v>56897.801200000002</v>
      </c>
    </row>
    <row r="11" spans="1:3" s="373" customFormat="1" ht="140.25" x14ac:dyDescent="0.2">
      <c r="A11" s="482" t="s">
        <v>500</v>
      </c>
      <c r="B11" s="491">
        <f>'Проверочная  таблица'!EM37/1000</f>
        <v>4611.3</v>
      </c>
      <c r="C11" s="491">
        <f>'Проверочная  таблица'!ET37/1000</f>
        <v>457.27328999999997</v>
      </c>
    </row>
    <row r="12" spans="1:3" ht="114.75" x14ac:dyDescent="0.2">
      <c r="A12" s="482" t="s">
        <v>502</v>
      </c>
      <c r="B12" s="491">
        <f>'Проверочная  таблица'!EO37/1000</f>
        <v>0</v>
      </c>
      <c r="C12" s="491">
        <f>'Проверочная  таблица'!EV37/1000</f>
        <v>0</v>
      </c>
    </row>
    <row r="13" spans="1:3" ht="140.25" x14ac:dyDescent="0.2">
      <c r="A13" s="482" t="s">
        <v>816</v>
      </c>
      <c r="B13" s="491">
        <f>'Проверочная  таблица'!EQ37/1000</f>
        <v>20000</v>
      </c>
      <c r="C13" s="491">
        <f>'Проверочная  таблица'!EX37/1000</f>
        <v>0</v>
      </c>
    </row>
    <row r="14" spans="1:3" ht="114.75" x14ac:dyDescent="0.2">
      <c r="A14" s="482" t="s">
        <v>879</v>
      </c>
      <c r="B14" s="491">
        <f>'Проверочная  таблица'!FA37/1000</f>
        <v>25000</v>
      </c>
      <c r="C14" s="491">
        <f>'Проверочная  таблица'!FD37/1000</f>
        <v>25000</v>
      </c>
    </row>
    <row r="15" spans="1:3" ht="89.25" x14ac:dyDescent="0.2">
      <c r="A15" s="482" t="s">
        <v>880</v>
      </c>
      <c r="B15" s="491">
        <f>'Проверочная  таблица'!GI37/1000</f>
        <v>10550.9</v>
      </c>
      <c r="C15" s="491">
        <f>'Проверочная  таблица'!GL37/1000</f>
        <v>8036.7785100000001</v>
      </c>
    </row>
    <row r="16" spans="1:3" ht="76.5" x14ac:dyDescent="0.2">
      <c r="A16" s="482" t="s">
        <v>881</v>
      </c>
      <c r="B16" s="491">
        <f>'Проверочная  таблица'!EG37/1000</f>
        <v>5371.4</v>
      </c>
      <c r="C16" s="491">
        <f>'Проверочная  таблица'!EJ37/1000</f>
        <v>2685.6999900000001</v>
      </c>
    </row>
    <row r="17" spans="1:3" ht="102" x14ac:dyDescent="0.2">
      <c r="A17" s="482" t="s">
        <v>882</v>
      </c>
      <c r="B17" s="491">
        <f>'Проверочная  таблица'!FM37/1000</f>
        <v>170569.7</v>
      </c>
      <c r="C17" s="491">
        <f>'Проверочная  таблица'!FP37/1000</f>
        <v>78230.722010000012</v>
      </c>
    </row>
    <row r="18" spans="1:3" ht="76.5" x14ac:dyDescent="0.2">
      <c r="A18" s="482" t="s">
        <v>883</v>
      </c>
      <c r="B18" s="491">
        <f>'Проверочная  таблица'!FG37/1000</f>
        <v>44645.7</v>
      </c>
      <c r="C18" s="491">
        <f>'Проверочная  таблица'!FJ37/1000</f>
        <v>44645.7</v>
      </c>
    </row>
    <row r="19" spans="1:3" ht="63.75" x14ac:dyDescent="0.2">
      <c r="A19" s="482" t="s">
        <v>884</v>
      </c>
      <c r="B19" s="491">
        <f>'Проверочная  таблица'!KQ37/1000</f>
        <v>190567.2</v>
      </c>
      <c r="C19" s="491">
        <f>'Проверочная  таблица'!KU37/1000</f>
        <v>150831.31075999999</v>
      </c>
    </row>
    <row r="20" spans="1:3" ht="140.25" x14ac:dyDescent="0.2">
      <c r="A20" s="482" t="s">
        <v>885</v>
      </c>
      <c r="B20" s="491">
        <f>'Проверочная  таблица'!IU38/1000</f>
        <v>21705.7</v>
      </c>
      <c r="C20" s="491">
        <f>'Проверочная  таблица'!JE38/1000</f>
        <v>2592.8842100000002</v>
      </c>
    </row>
    <row r="21" spans="1:3" ht="63.75" x14ac:dyDescent="0.2">
      <c r="A21" s="482" t="s">
        <v>886</v>
      </c>
      <c r="B21" s="491">
        <f>'Проверочная  таблица'!IY37/1000</f>
        <v>35012.199999999997</v>
      </c>
      <c r="C21" s="491">
        <f>'Проверочная  таблица'!JI37/1000</f>
        <v>34883.116660000007</v>
      </c>
    </row>
    <row r="22" spans="1:3" ht="76.5" x14ac:dyDescent="0.2">
      <c r="A22" s="482" t="s">
        <v>887</v>
      </c>
      <c r="B22" s="491">
        <f>'Проверочная  таблица'!IW37/1000</f>
        <v>65047.5</v>
      </c>
      <c r="C22" s="491">
        <f>'Проверочная  таблица'!JG37/1000</f>
        <v>28531.216069999999</v>
      </c>
    </row>
    <row r="23" spans="1:3" ht="102" x14ac:dyDescent="0.2">
      <c r="A23" s="482" t="s">
        <v>925</v>
      </c>
      <c r="B23" s="491">
        <f>'Проверочная  таблица'!IS38/1000</f>
        <v>0</v>
      </c>
      <c r="C23" s="491">
        <f>'Проверочная  таблица'!JC38/1000</f>
        <v>0</v>
      </c>
    </row>
    <row r="24" spans="1:3" ht="76.5" x14ac:dyDescent="0.2">
      <c r="A24" s="482" t="s">
        <v>888</v>
      </c>
      <c r="B24" s="491">
        <f>'Проверочная  таблица'!HS38/1000</f>
        <v>15837.199899999998</v>
      </c>
      <c r="C24" s="491">
        <f>'Проверочная  таблица'!HV38/1000</f>
        <v>13635.71357</v>
      </c>
    </row>
    <row r="25" spans="1:3" ht="89.25" x14ac:dyDescent="0.2">
      <c r="A25" s="482" t="s">
        <v>889</v>
      </c>
      <c r="B25" s="491">
        <f>'Проверочная  таблица'!HM37/1000</f>
        <v>2692.9</v>
      </c>
      <c r="C25" s="491">
        <f>'Проверочная  таблица'!HP37/1000</f>
        <v>2692.9</v>
      </c>
    </row>
    <row r="26" spans="1:3" ht="63.75" x14ac:dyDescent="0.2">
      <c r="A26" s="482" t="s">
        <v>890</v>
      </c>
      <c r="B26" s="491">
        <f>'Проверочная  таблица'!DL37/1000</f>
        <v>296336.64705999999</v>
      </c>
      <c r="C26" s="491">
        <f>'Проверочная  таблица'!DP37/1000</f>
        <v>138180.93374000001</v>
      </c>
    </row>
    <row r="27" spans="1:3" ht="153" x14ac:dyDescent="0.2">
      <c r="A27" s="482" t="s">
        <v>891</v>
      </c>
      <c r="B27" s="491">
        <f>('Проверочная  таблица'!CS38)/1000</f>
        <v>798263.27651999996</v>
      </c>
      <c r="C27" s="491">
        <f>('Проверочная  таблица'!CT38)/1000</f>
        <v>641786.8158199999</v>
      </c>
    </row>
    <row r="28" spans="1:3" ht="114.75" x14ac:dyDescent="0.2">
      <c r="A28" s="482" t="s">
        <v>892</v>
      </c>
      <c r="B28" s="491">
        <f>'Проверочная  таблица'!GO38/1000</f>
        <v>3003.7</v>
      </c>
      <c r="C28" s="491">
        <f>'Проверочная  таблица'!GR38/1000</f>
        <v>1414.2733299999998</v>
      </c>
    </row>
    <row r="29" spans="1:3" ht="127.5" x14ac:dyDescent="0.2">
      <c r="A29" s="482" t="s">
        <v>893</v>
      </c>
      <c r="B29" s="491">
        <f>'Проверочная  таблица'!FS38/1000</f>
        <v>44878.7</v>
      </c>
      <c r="C29" s="491">
        <f>'Проверочная  таблица'!FV38/1000</f>
        <v>34773.463049999998</v>
      </c>
    </row>
    <row r="30" spans="1:3" ht="76.5" x14ac:dyDescent="0.2">
      <c r="A30" s="482" t="s">
        <v>894</v>
      </c>
      <c r="B30" s="491">
        <f>'Проверочная  таблица'!LC38/1000</f>
        <v>301870.08217000001</v>
      </c>
      <c r="C30" s="491">
        <f>'Проверочная  таблица'!LG38/1000</f>
        <v>235886.21187999999</v>
      </c>
    </row>
    <row r="31" spans="1:3" ht="127.5" x14ac:dyDescent="0.2">
      <c r="A31" s="482" t="s">
        <v>895</v>
      </c>
      <c r="B31" s="491">
        <f>'Проверочная  таблица'!OG37/1000</f>
        <v>28724.6</v>
      </c>
      <c r="C31" s="491">
        <f>'Проверочная  таблица'!ON37/1000</f>
        <v>11283.83561</v>
      </c>
    </row>
    <row r="32" spans="1:3" ht="76.5" x14ac:dyDescent="0.2">
      <c r="A32" s="482" t="s">
        <v>896</v>
      </c>
      <c r="B32" s="491">
        <f>'Проверочная  таблица'!MI37/1000</f>
        <v>19993.599999999999</v>
      </c>
      <c r="C32" s="491">
        <f>'Проверочная  таблица'!MN37/1000</f>
        <v>10734.480310000001</v>
      </c>
    </row>
    <row r="33" spans="1:3" ht="63.75" x14ac:dyDescent="0.2">
      <c r="A33" s="482" t="s">
        <v>904</v>
      </c>
      <c r="B33" s="491">
        <f>'Проверочная  таблица'!MK37/1000</f>
        <v>7601.9</v>
      </c>
      <c r="C33" s="491">
        <f>'Проверочная  таблица'!MP37/1000</f>
        <v>0</v>
      </c>
    </row>
    <row r="34" spans="1:3" ht="76.5" x14ac:dyDescent="0.2">
      <c r="A34" s="482" t="s">
        <v>900</v>
      </c>
      <c r="B34" s="491">
        <f>'Проверочная  таблица'!NS38/1000</f>
        <v>0</v>
      </c>
      <c r="C34" s="491">
        <f>'Проверочная  таблица'!NZ38/1000</f>
        <v>0</v>
      </c>
    </row>
    <row r="35" spans="1:3" ht="90.95" customHeight="1" x14ac:dyDescent="0.2">
      <c r="A35" s="482" t="s">
        <v>901</v>
      </c>
      <c r="B35" s="491">
        <f>'Проверочная  таблица'!NU38/1000</f>
        <v>286389.5</v>
      </c>
      <c r="C35" s="491">
        <f>'Проверочная  таблица'!OB38/1000</f>
        <v>25494.204719999998</v>
      </c>
    </row>
    <row r="36" spans="1:3" ht="76.5" x14ac:dyDescent="0.2">
      <c r="A36" s="482" t="s">
        <v>902</v>
      </c>
      <c r="B36" s="491">
        <f>'Проверочная  таблица'!NW38/1000</f>
        <v>127736.41800000001</v>
      </c>
      <c r="C36" s="491">
        <f>'Проверочная  таблица'!OD38/1000</f>
        <v>82876.932230000006</v>
      </c>
    </row>
    <row r="37" spans="1:3" ht="102" x14ac:dyDescent="0.2">
      <c r="A37" s="482" t="s">
        <v>903</v>
      </c>
      <c r="B37" s="491">
        <f>'Проверочная  таблица'!PW38/1000</f>
        <v>39920.400000000001</v>
      </c>
      <c r="C37" s="491">
        <f>'Проверочная  таблица'!PZ38/1000</f>
        <v>0</v>
      </c>
    </row>
    <row r="38" spans="1:3" ht="15.75" x14ac:dyDescent="0.2">
      <c r="A38" s="482"/>
      <c r="B38" s="491"/>
      <c r="C38" s="491"/>
    </row>
    <row r="39" spans="1:3" ht="15.75" x14ac:dyDescent="0.2">
      <c r="A39" s="196" t="s">
        <v>158</v>
      </c>
      <c r="B39" s="492">
        <f>SUM(B7:B38)</f>
        <v>2704169.9236499998</v>
      </c>
      <c r="C39" s="492">
        <f>SUM(C7:C38)</f>
        <v>1631552.2669599999</v>
      </c>
    </row>
    <row r="40" spans="1:3" ht="15.75" x14ac:dyDescent="0.2">
      <c r="A40" s="169"/>
      <c r="B40" s="491"/>
      <c r="C40" s="491"/>
    </row>
    <row r="41" spans="1:3" ht="15.75" x14ac:dyDescent="0.2">
      <c r="A41" s="168" t="s">
        <v>155</v>
      </c>
      <c r="B41" s="491"/>
      <c r="C41" s="491"/>
    </row>
    <row r="42" spans="1:3" ht="102" x14ac:dyDescent="0.2">
      <c r="A42" s="482" t="s">
        <v>212</v>
      </c>
      <c r="B42" s="491">
        <f>'Проверочная  таблица'!RQ37/1000</f>
        <v>8573.6</v>
      </c>
      <c r="C42" s="491">
        <f>'Проверочная  таблица'!RR37/1000</f>
        <v>4223.5559999999996</v>
      </c>
    </row>
    <row r="43" spans="1:3" ht="76.5" x14ac:dyDescent="0.2">
      <c r="A43" s="482" t="s">
        <v>287</v>
      </c>
      <c r="B43" s="491">
        <f>'Проверочная  таблица'!RS37/1000</f>
        <v>8208.5</v>
      </c>
      <c r="C43" s="491">
        <f>'Проверочная  таблица'!RT37/1000</f>
        <v>6335.35</v>
      </c>
    </row>
    <row r="44" spans="1:3" ht="89.25" x14ac:dyDescent="0.2">
      <c r="A44" s="482" t="s">
        <v>298</v>
      </c>
      <c r="B44" s="491">
        <f>'Проверочная  таблица'!RU37/1000</f>
        <v>9744</v>
      </c>
      <c r="C44" s="491">
        <f>'Проверочная  таблица'!RV37/1000</f>
        <v>8447.1319999999996</v>
      </c>
    </row>
    <row r="45" spans="1:3" ht="76.5" x14ac:dyDescent="0.2">
      <c r="A45" s="482" t="s">
        <v>721</v>
      </c>
      <c r="B45" s="491">
        <f>'Проверочная  таблица'!RY37/1000</f>
        <v>332574.5</v>
      </c>
      <c r="C45" s="491">
        <f>'Проверочная  таблица'!SB37/1000</f>
        <v>167420.95590999999</v>
      </c>
    </row>
    <row r="46" spans="1:3" ht="89.25" x14ac:dyDescent="0.2">
      <c r="A46" s="482" t="s">
        <v>718</v>
      </c>
      <c r="B46" s="491">
        <f>'Проверочная  таблица'!SG37/1000</f>
        <v>42921</v>
      </c>
      <c r="C46" s="491">
        <f>'Проверочная  таблица'!SJ37/1000</f>
        <v>30479.070080000001</v>
      </c>
    </row>
    <row r="47" spans="1:3" ht="51" x14ac:dyDescent="0.2">
      <c r="A47" s="482" t="s">
        <v>719</v>
      </c>
      <c r="B47" s="491">
        <f>'Проверочная  таблица'!RM37/1000</f>
        <v>32076</v>
      </c>
      <c r="C47" s="491">
        <f>'Проверочная  таблица'!RN37/1000</f>
        <v>20852.690699999999</v>
      </c>
    </row>
    <row r="48" spans="1:3" ht="63.75" x14ac:dyDescent="0.2">
      <c r="A48" s="482" t="s">
        <v>720</v>
      </c>
      <c r="B48" s="491">
        <f>'Проверочная  таблица'!RO37/1000</f>
        <v>136.80000000000001</v>
      </c>
      <c r="C48" s="491">
        <f>'Проверочная  таблица'!RP37/1000</f>
        <v>49.857500000000002</v>
      </c>
    </row>
    <row r="49" spans="1:3" ht="38.25" x14ac:dyDescent="0.2">
      <c r="A49" s="482" t="s">
        <v>734</v>
      </c>
      <c r="B49" s="491">
        <f>'Проверочная  таблица'!SC37/1000</f>
        <v>17719.3</v>
      </c>
      <c r="C49" s="491">
        <f>'Проверочная  таблица'!SD37/1000</f>
        <v>0</v>
      </c>
    </row>
    <row r="50" spans="1:3" ht="15.75" x14ac:dyDescent="0.2">
      <c r="A50" s="196" t="s">
        <v>158</v>
      </c>
      <c r="B50" s="492">
        <f>SUM(B42:B49)</f>
        <v>451953.69999999995</v>
      </c>
      <c r="C50" s="492">
        <f>SUM(C42:C49)</f>
        <v>237808.61219000001</v>
      </c>
    </row>
    <row r="51" spans="1:3" ht="15.75" x14ac:dyDescent="0.2">
      <c r="A51" s="482"/>
      <c r="B51" s="491"/>
      <c r="C51" s="491"/>
    </row>
    <row r="52" spans="1:3" ht="15.75" x14ac:dyDescent="0.2">
      <c r="A52" s="168" t="s">
        <v>127</v>
      </c>
      <c r="B52" s="491"/>
      <c r="C52" s="491"/>
    </row>
    <row r="53" spans="1:3" ht="76.5" x14ac:dyDescent="0.2">
      <c r="A53" s="481" t="s">
        <v>874</v>
      </c>
      <c r="B53" s="491">
        <f>'Проверочная  таблица'!SO37/1000</f>
        <v>458955</v>
      </c>
      <c r="C53" s="491">
        <f>'Проверочная  таблица'!SR37/1000</f>
        <v>332262.8869300001</v>
      </c>
    </row>
    <row r="54" spans="1:3" ht="51" x14ac:dyDescent="0.2">
      <c r="A54" s="482" t="s">
        <v>875</v>
      </c>
      <c r="B54" s="491">
        <f>'Проверочная  таблица'!UI37/1000</f>
        <v>5000</v>
      </c>
      <c r="C54" s="491">
        <f>'Проверочная  таблица'!UM37/1000</f>
        <v>5000</v>
      </c>
    </row>
    <row r="55" spans="1:3" ht="63.75" x14ac:dyDescent="0.2">
      <c r="A55" s="482" t="s">
        <v>920</v>
      </c>
      <c r="B55" s="491">
        <f>'Проверочная  таблица'!UJ37/1000</f>
        <v>0</v>
      </c>
      <c r="C55" s="491">
        <f>'Проверочная  таблица'!UN37/1000</f>
        <v>0</v>
      </c>
    </row>
    <row r="56" spans="1:3" ht="51" x14ac:dyDescent="0.2">
      <c r="A56" s="482" t="s">
        <v>918</v>
      </c>
      <c r="B56" s="491">
        <f>'Проверочная  таблица'!UC37/1000</f>
        <v>1000</v>
      </c>
      <c r="C56" s="491">
        <f>'Проверочная  таблица'!UF37/1000</f>
        <v>1000</v>
      </c>
    </row>
    <row r="57" spans="1:3" ht="63.75" x14ac:dyDescent="0.2">
      <c r="A57" s="482" t="s">
        <v>919</v>
      </c>
      <c r="B57" s="491">
        <f>'Проверочная  таблица'!ST37/1000</f>
        <v>0</v>
      </c>
      <c r="C57" s="491">
        <f>'Проверочная  таблица'!SW37/1000</f>
        <v>0</v>
      </c>
    </row>
    <row r="58" spans="1:3" ht="51" x14ac:dyDescent="0.2">
      <c r="A58" s="482" t="s">
        <v>933</v>
      </c>
      <c r="B58" s="1632">
        <f>'Проверочная  таблица'!SU37/1000</f>
        <v>0</v>
      </c>
      <c r="C58" s="1632">
        <f>'Проверочная  таблица'!SX37/1000</f>
        <v>0</v>
      </c>
    </row>
    <row r="59" spans="1:3" ht="114.75" x14ac:dyDescent="0.2">
      <c r="A59" s="482" t="s">
        <v>934</v>
      </c>
      <c r="B59" s="491">
        <f>'Проверочная  таблица'!SZ38/1000</f>
        <v>506290</v>
      </c>
      <c r="C59" s="491">
        <f>'Проверочная  таблица'!TB38/1000</f>
        <v>506290</v>
      </c>
    </row>
    <row r="60" spans="1:3" ht="89.25" x14ac:dyDescent="0.2">
      <c r="A60" s="482" t="s">
        <v>935</v>
      </c>
      <c r="B60" s="491">
        <f>'Проверочная  таблица'!TM38/1000</f>
        <v>170000</v>
      </c>
      <c r="C60" s="491">
        <f>'Проверочная  таблица'!TP38/1000</f>
        <v>147750.72016999999</v>
      </c>
    </row>
    <row r="61" spans="1:3" ht="15.75" x14ac:dyDescent="0.2">
      <c r="A61" s="168"/>
      <c r="B61" s="491"/>
      <c r="C61" s="491"/>
    </row>
    <row r="62" spans="1:3" ht="15.75" x14ac:dyDescent="0.2">
      <c r="A62" s="196" t="s">
        <v>158</v>
      </c>
      <c r="B62" s="492">
        <f>SUM(B53:B61)</f>
        <v>1141245</v>
      </c>
      <c r="C62" s="492">
        <f>SUM(C53:C61)</f>
        <v>992303.60710000002</v>
      </c>
    </row>
    <row r="63" spans="1:3" ht="15.75" x14ac:dyDescent="0.2">
      <c r="A63" s="482"/>
      <c r="B63" s="491"/>
      <c r="C63" s="491"/>
    </row>
    <row r="64" spans="1:3" ht="15.75" x14ac:dyDescent="0.2">
      <c r="A64" s="482"/>
      <c r="B64" s="491"/>
      <c r="C64" s="491"/>
    </row>
    <row r="65" spans="1:3" ht="15.75" x14ac:dyDescent="0.2">
      <c r="A65" s="145" t="s">
        <v>136</v>
      </c>
      <c r="B65" s="493">
        <f>B50+B39+B62</f>
        <v>4297368.6236499995</v>
      </c>
      <c r="C65" s="493">
        <f>C50+C39+C62</f>
        <v>2861664.4862500001</v>
      </c>
    </row>
  </sheetData>
  <mergeCells count="2">
    <mergeCell ref="A2:C2"/>
    <mergeCell ref="A3:C3"/>
  </mergeCells>
  <phoneticPr fontId="0" type="noConversion"/>
  <pageMargins left="0.78740157480314965" right="0.39370078740157483" top="0.78740157480314965" bottom="0.78740157480314965" header="0.51181102362204722" footer="0.51181102362204722"/>
  <pageSetup paperSize="9" scale="80" fitToHeight="8" orientation="portrait" r:id="rId1"/>
  <headerFooter alignWithMargins="0">
    <oddFooter>&amp;R&amp;Z&amp;F&amp;A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2:I22"/>
  <sheetViews>
    <sheetView zoomScale="55" zoomScaleNormal="55" workbookViewId="0">
      <pane xSplit="1" ySplit="9" topLeftCell="B10" activePane="bottomRight" state="frozen"/>
      <selection pane="topRight" activeCell="B1" sqref="B1"/>
      <selection pane="bottomLeft" activeCell="A9" sqref="A9"/>
      <selection pane="bottomRight" activeCell="H22" sqref="H22"/>
    </sheetView>
  </sheetViews>
  <sheetFormatPr defaultColWidth="8.85546875" defaultRowHeight="12.75" x14ac:dyDescent="0.2"/>
  <cols>
    <col min="1" max="1" width="19.140625" style="356" customWidth="1"/>
    <col min="2" max="3" width="21.5703125" style="356" bestFit="1" customWidth="1"/>
    <col min="4" max="4" width="20.42578125" style="356" customWidth="1"/>
    <col min="5" max="5" width="19.5703125" style="356" bestFit="1" customWidth="1"/>
    <col min="6" max="7" width="21.5703125" style="356" bestFit="1" customWidth="1"/>
    <col min="8" max="8" width="19.85546875" style="356" customWidth="1"/>
    <col min="9" max="9" width="18.5703125" style="356" bestFit="1" customWidth="1"/>
    <col min="10" max="16384" width="8.85546875" style="356"/>
  </cols>
  <sheetData>
    <row r="2" spans="1:9" ht="15.75" x14ac:dyDescent="0.2">
      <c r="A2" s="1908" t="s">
        <v>679</v>
      </c>
      <c r="B2" s="1908"/>
      <c r="C2" s="1908"/>
      <c r="D2" s="1908"/>
      <c r="E2" s="1908"/>
      <c r="F2" s="1908"/>
      <c r="G2" s="1908"/>
      <c r="H2" s="1908"/>
      <c r="I2" s="1908"/>
    </row>
    <row r="3" spans="1:9" ht="15.75" x14ac:dyDescent="0.2">
      <c r="A3" s="1909" t="str">
        <f>'Район  и  поселения'!E3</f>
        <v>ПО  СОСТОЯНИЮ  НА  1  ОКТЯБРЯ  2021  ГОДА</v>
      </c>
      <c r="B3" s="1909"/>
      <c r="C3" s="1909"/>
      <c r="D3" s="1909"/>
      <c r="E3" s="1909"/>
      <c r="F3" s="1909"/>
      <c r="G3" s="1909"/>
      <c r="H3" s="1909"/>
      <c r="I3" s="1909"/>
    </row>
    <row r="5" spans="1:9" x14ac:dyDescent="0.2">
      <c r="H5" s="356" t="s">
        <v>20</v>
      </c>
    </row>
    <row r="6" spans="1:9" x14ac:dyDescent="0.2">
      <c r="A6" s="1910" t="s">
        <v>159</v>
      </c>
      <c r="B6" s="1904" t="s">
        <v>13</v>
      </c>
      <c r="C6" s="1905"/>
      <c r="D6" s="1905"/>
      <c r="E6" s="1906"/>
      <c r="F6" s="1904" t="s">
        <v>14</v>
      </c>
      <c r="G6" s="1905"/>
      <c r="H6" s="1905"/>
      <c r="I6" s="1906"/>
    </row>
    <row r="7" spans="1:9" x14ac:dyDescent="0.2">
      <c r="A7" s="1910"/>
      <c r="B7" s="1910" t="s">
        <v>1</v>
      </c>
      <c r="C7" s="1907" t="s">
        <v>38</v>
      </c>
      <c r="D7" s="1907"/>
      <c r="E7" s="1907"/>
      <c r="F7" s="1907" t="s">
        <v>1</v>
      </c>
      <c r="G7" s="1907" t="s">
        <v>38</v>
      </c>
      <c r="H7" s="1907"/>
      <c r="I7" s="1907"/>
    </row>
    <row r="8" spans="1:9" x14ac:dyDescent="0.2">
      <c r="A8" s="1910"/>
      <c r="B8" s="1910"/>
      <c r="C8" s="1911" t="s">
        <v>24</v>
      </c>
      <c r="D8" s="176" t="s">
        <v>98</v>
      </c>
      <c r="E8" s="1911" t="s">
        <v>25</v>
      </c>
      <c r="F8" s="1907"/>
      <c r="G8" s="1911" t="s">
        <v>24</v>
      </c>
      <c r="H8" s="176" t="s">
        <v>98</v>
      </c>
      <c r="I8" s="1911" t="s">
        <v>25</v>
      </c>
    </row>
    <row r="9" spans="1:9" ht="45.6" customHeight="1" x14ac:dyDescent="0.2">
      <c r="A9" s="1910"/>
      <c r="B9" s="1910"/>
      <c r="C9" s="1912"/>
      <c r="D9" s="176" t="s">
        <v>58</v>
      </c>
      <c r="E9" s="1912"/>
      <c r="F9" s="1907"/>
      <c r="G9" s="1912"/>
      <c r="H9" s="176" t="s">
        <v>58</v>
      </c>
      <c r="I9" s="1912"/>
    </row>
    <row r="10" spans="1:9" ht="15" x14ac:dyDescent="0.2">
      <c r="A10" s="180"/>
      <c r="B10" s="357"/>
      <c r="C10" s="357"/>
      <c r="D10" s="357"/>
      <c r="E10" s="357"/>
      <c r="F10" s="357"/>
      <c r="G10" s="357"/>
      <c r="H10" s="357"/>
      <c r="I10" s="357"/>
    </row>
    <row r="11" spans="1:9" ht="76.5" x14ac:dyDescent="0.2">
      <c r="A11" s="177" t="s">
        <v>649</v>
      </c>
      <c r="B11" s="444">
        <f>'[2]Исполнение  по  дотации'!$B$38*1000</f>
        <v>4281021457.0000005</v>
      </c>
      <c r="C11" s="444">
        <f>'[2]Исполнение  по  дотации'!$B$40*1000</f>
        <v>4281021457.0000005</v>
      </c>
      <c r="D11" s="444"/>
      <c r="E11" s="444">
        <f>'[2]Исполнение  по  дотации'!$B$41*1000</f>
        <v>0</v>
      </c>
      <c r="F11" s="444">
        <f>'[2]Исполнение  по  дотации'!$E$38*1000</f>
        <v>3066057531.5699997</v>
      </c>
      <c r="G11" s="444">
        <f>'[2]Исполнение  по  дотации'!$E$40*1000</f>
        <v>3066057531.5699997</v>
      </c>
      <c r="H11" s="444"/>
      <c r="I11" s="444">
        <f>'[2]Исполнение  по  дотации'!$E$41*1000</f>
        <v>0</v>
      </c>
    </row>
    <row r="12" spans="1:9" ht="15" x14ac:dyDescent="0.2">
      <c r="A12" s="177"/>
      <c r="B12" s="444"/>
      <c r="C12" s="444"/>
      <c r="D12" s="444"/>
      <c r="E12" s="444"/>
      <c r="F12" s="444"/>
      <c r="G12" s="444"/>
      <c r="H12" s="444"/>
      <c r="I12" s="444"/>
    </row>
    <row r="13" spans="1:9" ht="102" x14ac:dyDescent="0.2">
      <c r="A13" s="177" t="s">
        <v>644</v>
      </c>
      <c r="B13" s="444">
        <f>'[2]Исполнение  по  субсидии'!$B$39*1000</f>
        <v>6034501956.2299995</v>
      </c>
      <c r="C13" s="444">
        <f>'[2]Исполнение  по  субсидии'!$B$44*1000</f>
        <v>6034501956.2299995</v>
      </c>
      <c r="D13" s="444">
        <f>'[2]Исполнение  по  субсидии'!$B$41*1000</f>
        <v>2704169923.6500001</v>
      </c>
      <c r="E13" s="444">
        <f>'[2]Исполнение  по  субсидии'!$B$45*1000</f>
        <v>0</v>
      </c>
      <c r="F13" s="444">
        <f>'[2]Исполнение  по  субсидии'!$C$39*1000</f>
        <v>3389548986.2700005</v>
      </c>
      <c r="G13" s="444">
        <f>'[2]Исполнение  по  субсидии'!$C$44*1000</f>
        <v>3389548986.2700005</v>
      </c>
      <c r="H13" s="444">
        <f>'[2]Исполнение  по  субсидии'!$C$41*1000</f>
        <v>1631552266.96</v>
      </c>
      <c r="I13" s="444">
        <f>'[2]Исполнение  по  субсидии'!$C$45*1000</f>
        <v>0</v>
      </c>
    </row>
    <row r="14" spans="1:9" ht="15" x14ac:dyDescent="0.2">
      <c r="A14" s="177"/>
      <c r="B14" s="444"/>
      <c r="C14" s="444"/>
      <c r="D14" s="444"/>
      <c r="E14" s="444"/>
      <c r="F14" s="444"/>
      <c r="G14" s="444"/>
      <c r="H14" s="444"/>
      <c r="I14" s="444"/>
    </row>
    <row r="15" spans="1:9" ht="76.5" x14ac:dyDescent="0.2">
      <c r="A15" s="177" t="s">
        <v>642</v>
      </c>
      <c r="B15" s="444">
        <f>'[2]Исполнение  по  субвенции'!$B$39*1000</f>
        <v>12274004483.219999</v>
      </c>
      <c r="C15" s="444">
        <f>'[2]Исполнение  по  субвенции'!$B$44*1000</f>
        <v>12151911593.219999</v>
      </c>
      <c r="D15" s="444">
        <f>'[2]Исполнение  по  субвенции'!$B$41*1000</f>
        <v>451953700</v>
      </c>
      <c r="E15" s="444">
        <f>'[2]Исполнение  по  субвенции'!$B$45*1000</f>
        <v>122092889.99999999</v>
      </c>
      <c r="F15" s="444">
        <f>'[2]Исполнение  по  субвенции'!$G$39*1000</f>
        <v>9161039480.8599987</v>
      </c>
      <c r="G15" s="444">
        <f>'[2]Исполнение  по  субвенции'!$G$44*1000</f>
        <v>9071259450.079998</v>
      </c>
      <c r="H15" s="444">
        <f>'[2]Исполнение  по  субвенции'!$G$41*1000</f>
        <v>237808612.19</v>
      </c>
      <c r="I15" s="444">
        <f>'[2]Исполнение  по  субвенции'!$G$45*1000</f>
        <v>89780030.780000001</v>
      </c>
    </row>
    <row r="16" spans="1:9" ht="15" x14ac:dyDescent="0.2">
      <c r="A16" s="177"/>
      <c r="B16" s="444"/>
      <c r="C16" s="444"/>
      <c r="D16" s="444"/>
      <c r="E16" s="444"/>
      <c r="F16" s="444"/>
      <c r="G16" s="444"/>
      <c r="H16" s="444"/>
      <c r="I16" s="444"/>
    </row>
    <row r="17" spans="1:9" ht="38.25" x14ac:dyDescent="0.2">
      <c r="A17" s="177" t="s">
        <v>26</v>
      </c>
      <c r="B17" s="444">
        <f>'[2]Исполнение  по  иным  МБТ'!$B$37*1000</f>
        <v>1914974612.53</v>
      </c>
      <c r="C17" s="444">
        <f>'[2]Исполнение  по  иным  МБТ'!$B$42*1000</f>
        <v>1547892640.9000001</v>
      </c>
      <c r="D17" s="444">
        <f>'[2]Исполнение  по  иным  МБТ'!$B$39*1000</f>
        <v>1141245000</v>
      </c>
      <c r="E17" s="444">
        <f>'[2]Исполнение  по  иным  МБТ'!$B$43*1000</f>
        <v>367081971.63</v>
      </c>
      <c r="F17" s="444">
        <f>'[2]Исполнение  по  иным  МБТ'!$G$37*1000</f>
        <v>1517700303.5900002</v>
      </c>
      <c r="G17" s="444">
        <f>'[2]Исполнение  по  иным  МБТ'!$G$42*1000</f>
        <v>1150618331.96</v>
      </c>
      <c r="H17" s="444">
        <f>'[2]Исполнение  по  иным  МБТ'!$G$39*1000</f>
        <v>992303607.10000002</v>
      </c>
      <c r="I17" s="444">
        <f>'[2]Исполнение  по  иным  МБТ'!$G$43*1000</f>
        <v>367081971.63</v>
      </c>
    </row>
    <row r="18" spans="1:9" ht="15" x14ac:dyDescent="0.2">
      <c r="A18" s="177"/>
      <c r="B18" s="444"/>
      <c r="C18" s="444"/>
      <c r="D18" s="444"/>
      <c r="E18" s="444"/>
      <c r="F18" s="444"/>
      <c r="G18" s="444"/>
      <c r="H18" s="444"/>
      <c r="I18" s="444"/>
    </row>
    <row r="19" spans="1:9" ht="15" x14ac:dyDescent="0.2">
      <c r="A19" s="358" t="s">
        <v>136</v>
      </c>
      <c r="B19" s="360">
        <f t="shared" ref="B19:I19" si="0">SUM(B11:B18)</f>
        <v>24504502508.979996</v>
      </c>
      <c r="C19" s="360">
        <f t="shared" si="0"/>
        <v>24015327647.349998</v>
      </c>
      <c r="D19" s="360">
        <f t="shared" si="0"/>
        <v>4297368623.6499996</v>
      </c>
      <c r="E19" s="360">
        <f t="shared" si="0"/>
        <v>489174861.63</v>
      </c>
      <c r="F19" s="360">
        <f t="shared" si="0"/>
        <v>17134346302.289999</v>
      </c>
      <c r="G19" s="360">
        <f t="shared" si="0"/>
        <v>16677484299.879997</v>
      </c>
      <c r="H19" s="360">
        <f t="shared" si="0"/>
        <v>2861664486.25</v>
      </c>
      <c r="I19" s="360">
        <f t="shared" si="0"/>
        <v>456862002.40999997</v>
      </c>
    </row>
    <row r="20" spans="1:9" ht="15" x14ac:dyDescent="0.2">
      <c r="A20" s="362" t="s">
        <v>38</v>
      </c>
      <c r="B20" s="363"/>
      <c r="C20" s="363"/>
      <c r="D20" s="363"/>
      <c r="E20" s="363"/>
      <c r="F20" s="363"/>
      <c r="G20" s="363"/>
      <c r="H20" s="363"/>
      <c r="I20" s="363"/>
    </row>
    <row r="21" spans="1:9" ht="30" x14ac:dyDescent="0.2">
      <c r="A21" s="144" t="s">
        <v>74</v>
      </c>
      <c r="B21" s="731">
        <f t="shared" ref="B21:I21" si="1">B19-B11</f>
        <v>20223481051.979996</v>
      </c>
      <c r="C21" s="731">
        <f t="shared" si="1"/>
        <v>19734306190.349998</v>
      </c>
      <c r="D21" s="731">
        <f t="shared" si="1"/>
        <v>4297368623.6499996</v>
      </c>
      <c r="E21" s="731">
        <f t="shared" si="1"/>
        <v>489174861.63</v>
      </c>
      <c r="F21" s="731">
        <f t="shared" si="1"/>
        <v>14068288770.719999</v>
      </c>
      <c r="G21" s="731">
        <f t="shared" si="1"/>
        <v>13611426768.309998</v>
      </c>
      <c r="H21" s="731">
        <f t="shared" si="1"/>
        <v>2861664486.25</v>
      </c>
      <c r="I21" s="731">
        <f t="shared" si="1"/>
        <v>456862002.40999997</v>
      </c>
    </row>
    <row r="22" spans="1:9" s="361" customFormat="1" x14ac:dyDescent="0.2">
      <c r="B22" s="359">
        <f>B19-'Проверочная  таблица'!B37</f>
        <v>0</v>
      </c>
      <c r="C22" s="359">
        <f>B19-C19-E19</f>
        <v>-2.7418136596679688E-6</v>
      </c>
      <c r="D22" s="359"/>
      <c r="F22" s="359">
        <f>F19-'Проверочная  таблица'!C37</f>
        <v>0</v>
      </c>
      <c r="G22" s="359">
        <f>F19-G19-I19</f>
        <v>1.7881393432617188E-6</v>
      </c>
      <c r="H22" s="359"/>
    </row>
  </sheetData>
  <mergeCells count="13">
    <mergeCell ref="F6:I6"/>
    <mergeCell ref="F7:F9"/>
    <mergeCell ref="G7:I7"/>
    <mergeCell ref="A2:I2"/>
    <mergeCell ref="A3:I3"/>
    <mergeCell ref="B7:B9"/>
    <mergeCell ref="C7:E7"/>
    <mergeCell ref="A6:A9"/>
    <mergeCell ref="B6:E6"/>
    <mergeCell ref="C8:C9"/>
    <mergeCell ref="E8:E9"/>
    <mergeCell ref="G8:G9"/>
    <mergeCell ref="I8:I9"/>
  </mergeCells>
  <phoneticPr fontId="57" type="noConversion"/>
  <pageMargins left="0.78740157480314965" right="0.39370078740157483" top="0.78740157480314965" bottom="0.78740157480314965" header="0.51181102362204722" footer="0.51181102362204722"/>
  <pageSetup paperSize="9" scale="74" orientation="landscape" r:id="rId1"/>
  <headerFooter alignWithMargins="0">
    <oddFooter>&amp;R&amp;Z&amp;F&amp;A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2:E28"/>
  <sheetViews>
    <sheetView zoomScale="69" zoomScaleNormal="69" workbookViewId="0">
      <pane xSplit="1" ySplit="6" topLeftCell="B7" activePane="bottomRight" state="frozen"/>
      <selection pane="topRight" activeCell="B1" sqref="B1"/>
      <selection pane="bottomLeft" activeCell="A9" sqref="A9"/>
      <selection pane="bottomRight" activeCell="E25" sqref="E25"/>
    </sheetView>
  </sheetViews>
  <sheetFormatPr defaultColWidth="8.85546875" defaultRowHeight="12.75" x14ac:dyDescent="0.2"/>
  <cols>
    <col min="1" max="1" width="57.140625" style="356" customWidth="1"/>
    <col min="2" max="2" width="22.42578125" style="356" customWidth="1"/>
    <col min="3" max="4" width="21.85546875" style="356" customWidth="1"/>
    <col min="5" max="5" width="21.140625" style="356" customWidth="1"/>
    <col min="6" max="16384" width="8.85546875" style="356"/>
  </cols>
  <sheetData>
    <row r="2" spans="1:5" ht="15.75" x14ac:dyDescent="0.2">
      <c r="A2" s="1908" t="s">
        <v>679</v>
      </c>
      <c r="B2" s="1908"/>
      <c r="C2" s="1908"/>
      <c r="D2" s="1908"/>
      <c r="E2" s="1908"/>
    </row>
    <row r="3" spans="1:5" ht="15.75" x14ac:dyDescent="0.2">
      <c r="A3" s="1909" t="str">
        <f>'Район  и  поселения'!E3</f>
        <v>ПО  СОСТОЯНИЮ  НА  1  ОКТЯБРЯ  2021  ГОДА</v>
      </c>
      <c r="B3" s="1909"/>
      <c r="C3" s="1909"/>
      <c r="D3" s="1909"/>
      <c r="E3" s="1909"/>
    </row>
    <row r="5" spans="1:5" x14ac:dyDescent="0.2">
      <c r="D5" s="356" t="s">
        <v>20</v>
      </c>
    </row>
    <row r="6" spans="1:5" ht="25.5" x14ac:dyDescent="0.2">
      <c r="A6" s="181" t="s">
        <v>159</v>
      </c>
      <c r="B6" s="185" t="s">
        <v>13</v>
      </c>
      <c r="C6" s="185" t="s">
        <v>161</v>
      </c>
      <c r="D6" s="185" t="s">
        <v>4</v>
      </c>
      <c r="E6" s="185" t="s">
        <v>160</v>
      </c>
    </row>
    <row r="7" spans="1:5" ht="15" x14ac:dyDescent="0.2">
      <c r="A7" s="180"/>
      <c r="B7" s="180"/>
      <c r="C7" s="357"/>
      <c r="D7" s="357"/>
      <c r="E7" s="357"/>
    </row>
    <row r="8" spans="1:5" ht="25.5" x14ac:dyDescent="0.2">
      <c r="A8" s="368" t="s">
        <v>650</v>
      </c>
      <c r="B8" s="369">
        <f>C8+'Нераспределенная  дотация'!E15</f>
        <v>4604935396</v>
      </c>
      <c r="C8" s="445">
        <f>'[2]Исполнение  по  дотации'!$B$38*1000</f>
        <v>4281021457.0000005</v>
      </c>
      <c r="D8" s="445">
        <f>'[2]Исполнение  по  дотации'!$E$38*1000</f>
        <v>3066057531.5699997</v>
      </c>
      <c r="E8" s="369">
        <f>B8-C8</f>
        <v>323913938.99999952</v>
      </c>
    </row>
    <row r="9" spans="1:5" s="372" customFormat="1" ht="14.25" x14ac:dyDescent="0.2">
      <c r="A9" s="370" t="s">
        <v>38</v>
      </c>
      <c r="B9" s="371">
        <f>B8-B10-B11</f>
        <v>0</v>
      </c>
      <c r="C9" s="371">
        <f t="shared" ref="C9:E9" si="0">C8-C10-C11</f>
        <v>0</v>
      </c>
      <c r="D9" s="371">
        <f t="shared" si="0"/>
        <v>0</v>
      </c>
      <c r="E9" s="371">
        <f t="shared" si="0"/>
        <v>0</v>
      </c>
    </row>
    <row r="10" spans="1:5" s="372" customFormat="1" ht="25.5" x14ac:dyDescent="0.2">
      <c r="A10" s="370" t="s">
        <v>142</v>
      </c>
      <c r="B10" s="371">
        <f>C10</f>
        <v>1708347686</v>
      </c>
      <c r="C10" s="371">
        <f>'Проверочная  таблица'!F38</f>
        <v>1708347686</v>
      </c>
      <c r="D10" s="371">
        <f>'Проверочная  таблица'!G38</f>
        <v>1332082771.23</v>
      </c>
      <c r="E10" s="371">
        <f>B10-C10</f>
        <v>0</v>
      </c>
    </row>
    <row r="11" spans="1:5" s="373" customFormat="1" ht="14.25" x14ac:dyDescent="0.2">
      <c r="A11" s="370" t="s">
        <v>143</v>
      </c>
      <c r="B11" s="371">
        <f>B8-B10</f>
        <v>2896587710</v>
      </c>
      <c r="C11" s="371">
        <f>C8-C10</f>
        <v>2572673771.0000005</v>
      </c>
      <c r="D11" s="371">
        <f>D8-D10</f>
        <v>1733974760.3399997</v>
      </c>
      <c r="E11" s="371">
        <f>E8-E10</f>
        <v>323913938.99999952</v>
      </c>
    </row>
    <row r="12" spans="1:5" ht="15" x14ac:dyDescent="0.2">
      <c r="A12" s="177"/>
      <c r="B12" s="357"/>
      <c r="C12" s="357"/>
      <c r="D12" s="357"/>
      <c r="E12" s="357"/>
    </row>
    <row r="13" spans="1:5" ht="25.5" x14ac:dyDescent="0.2">
      <c r="A13" s="368" t="s">
        <v>645</v>
      </c>
      <c r="B13" s="369">
        <f>C13+Субсидия!G480</f>
        <v>6203105540.8329992</v>
      </c>
      <c r="C13" s="445">
        <f>'[2]Исполнение  по  субсидии'!$B$39*1000</f>
        <v>6034501956.2299995</v>
      </c>
      <c r="D13" s="445">
        <f>'[2]Исполнение  по  субсидии'!$C$39*1000</f>
        <v>3389548986.2700005</v>
      </c>
      <c r="E13" s="369">
        <f>B13-C13</f>
        <v>168603584.60299969</v>
      </c>
    </row>
    <row r="14" spans="1:5" s="367" customFormat="1" ht="14.25" x14ac:dyDescent="0.2">
      <c r="A14" s="365" t="s">
        <v>38</v>
      </c>
      <c r="B14" s="366">
        <f>B13-B15-B16-B17</f>
        <v>0</v>
      </c>
      <c r="C14" s="366">
        <f t="shared" ref="C14:E14" si="1">C13-C15-C16-C17</f>
        <v>0</v>
      </c>
      <c r="D14" s="366">
        <f t="shared" si="1"/>
        <v>0</v>
      </c>
      <c r="E14" s="366">
        <f t="shared" si="1"/>
        <v>-2.384185791015625E-7</v>
      </c>
    </row>
    <row r="15" spans="1:5" s="367" customFormat="1" ht="51" x14ac:dyDescent="0.2">
      <c r="A15" s="370" t="s">
        <v>144</v>
      </c>
      <c r="B15" s="371">
        <f>Субсидия!D481</f>
        <v>2054187505.773</v>
      </c>
      <c r="C15" s="371">
        <f>Субсидия!E481</f>
        <v>2033039997.9100001</v>
      </c>
      <c r="D15" s="371">
        <f>Субсидия!F481</f>
        <v>1116307615.3700001</v>
      </c>
      <c r="E15" s="371">
        <f>B15-C15</f>
        <v>21147507.862999916</v>
      </c>
    </row>
    <row r="16" spans="1:5" ht="38.25" x14ac:dyDescent="0.2">
      <c r="A16" s="370" t="s">
        <v>145</v>
      </c>
      <c r="B16" s="371">
        <f>Субсидия!D482</f>
        <v>2892820436.1099997</v>
      </c>
      <c r="C16" s="371">
        <f>Субсидия!E482</f>
        <v>2774510167.6099997</v>
      </c>
      <c r="D16" s="371">
        <f>Субсидия!F482</f>
        <v>1527421379.54</v>
      </c>
      <c r="E16" s="371">
        <f>B16-C16</f>
        <v>118310268.5</v>
      </c>
    </row>
    <row r="17" spans="1:5" ht="14.25" x14ac:dyDescent="0.2">
      <c r="A17" s="370" t="s">
        <v>317</v>
      </c>
      <c r="B17" s="371">
        <f>Субсидия!D483</f>
        <v>1256097598.95</v>
      </c>
      <c r="C17" s="371">
        <f>Субсидия!E483</f>
        <v>1226951790.71</v>
      </c>
      <c r="D17" s="371">
        <f>Субсидия!F483</f>
        <v>745819991.36000001</v>
      </c>
      <c r="E17" s="371">
        <f>B17-C17</f>
        <v>29145808.24000001</v>
      </c>
    </row>
    <row r="18" spans="1:5" ht="15" x14ac:dyDescent="0.2">
      <c r="A18" s="177"/>
      <c r="B18" s="357"/>
      <c r="C18" s="357"/>
      <c r="D18" s="357"/>
      <c r="E18" s="357"/>
    </row>
    <row r="19" spans="1:5" ht="25.5" x14ac:dyDescent="0.2">
      <c r="A19" s="368" t="s">
        <v>643</v>
      </c>
      <c r="B19" s="369">
        <f>C19+'Нераспределенная  субвенция'!D12</f>
        <v>12274004483.219999</v>
      </c>
      <c r="C19" s="445">
        <f>'[2]Исполнение  по  субвенции'!$B$39*1000</f>
        <v>12274004483.219999</v>
      </c>
      <c r="D19" s="445">
        <f>'[2]Исполнение  по  субвенции'!$G$39*1000</f>
        <v>9161039480.8599987</v>
      </c>
      <c r="E19" s="369">
        <f>B19-C19</f>
        <v>0</v>
      </c>
    </row>
    <row r="20" spans="1:5" s="367" customFormat="1" ht="14.25" x14ac:dyDescent="0.2">
      <c r="A20" s="365" t="s">
        <v>38</v>
      </c>
      <c r="B20" s="366"/>
      <c r="C20" s="366"/>
      <c r="D20" s="366"/>
      <c r="E20" s="366"/>
    </row>
    <row r="21" spans="1:5" s="367" customFormat="1" ht="14.25" x14ac:dyDescent="0.2">
      <c r="A21" s="365" t="s">
        <v>140</v>
      </c>
      <c r="B21" s="366">
        <f>B19</f>
        <v>12274004483.219999</v>
      </c>
      <c r="C21" s="366">
        <f>C19</f>
        <v>12274004483.219999</v>
      </c>
      <c r="D21" s="366">
        <f>D19</f>
        <v>9161039480.8599987</v>
      </c>
      <c r="E21" s="366">
        <f>E19</f>
        <v>0</v>
      </c>
    </row>
    <row r="22" spans="1:5" ht="15" x14ac:dyDescent="0.2">
      <c r="A22" s="177"/>
      <c r="B22" s="357"/>
      <c r="C22" s="357"/>
      <c r="D22" s="357"/>
      <c r="E22" s="357"/>
    </row>
    <row r="23" spans="1:5" ht="15" x14ac:dyDescent="0.2">
      <c r="A23" s="368" t="s">
        <v>139</v>
      </c>
      <c r="B23" s="369">
        <f>C23+'Нераспределенные  иные  МБТ'!G56</f>
        <v>2227988400.6399999</v>
      </c>
      <c r="C23" s="445">
        <f>'[2]Исполнение  по  иным  МБТ'!$B$37*1000</f>
        <v>1914974612.53</v>
      </c>
      <c r="D23" s="445">
        <f>'[2]Исполнение  по  иным  МБТ'!$G$37*1000</f>
        <v>1517700303.5900002</v>
      </c>
      <c r="E23" s="369">
        <f>B23-C23</f>
        <v>313013788.1099999</v>
      </c>
    </row>
    <row r="24" spans="1:5" s="367" customFormat="1" ht="14.25" x14ac:dyDescent="0.2">
      <c r="A24" s="365" t="s">
        <v>38</v>
      </c>
      <c r="B24" s="366"/>
      <c r="C24" s="366"/>
      <c r="D24" s="366"/>
      <c r="E24" s="366"/>
    </row>
    <row r="25" spans="1:5" s="367" customFormat="1" ht="14.25" x14ac:dyDescent="0.2">
      <c r="A25" s="365" t="s">
        <v>141</v>
      </c>
      <c r="B25" s="366">
        <f>B23</f>
        <v>2227988400.6399999</v>
      </c>
      <c r="C25" s="366">
        <f>C23</f>
        <v>1914974612.53</v>
      </c>
      <c r="D25" s="366">
        <f>D23</f>
        <v>1517700303.5900002</v>
      </c>
      <c r="E25" s="366">
        <f>E23</f>
        <v>313013788.1099999</v>
      </c>
    </row>
    <row r="26" spans="1:5" ht="15" x14ac:dyDescent="0.2">
      <c r="A26" s="177"/>
      <c r="B26" s="357"/>
      <c r="C26" s="357"/>
      <c r="D26" s="357"/>
      <c r="E26" s="357"/>
    </row>
    <row r="27" spans="1:5" ht="15" x14ac:dyDescent="0.2">
      <c r="A27" s="358" t="s">
        <v>136</v>
      </c>
      <c r="B27" s="360">
        <f>B8+B13+B19+B23</f>
        <v>25310033820.693001</v>
      </c>
      <c r="C27" s="360">
        <f>C8+C13+C19+C23</f>
        <v>24504502508.979996</v>
      </c>
      <c r="D27" s="360">
        <f>D8+D13+D19+D23</f>
        <v>17134346302.289999</v>
      </c>
      <c r="E27" s="360">
        <f>E8+E13+E19+E23</f>
        <v>805531311.71299911</v>
      </c>
    </row>
    <row r="28" spans="1:5" s="361" customFormat="1" x14ac:dyDescent="0.2">
      <c r="C28" s="359">
        <f>C27-'Проверочная  таблица'!B37</f>
        <v>0</v>
      </c>
      <c r="D28" s="359">
        <f>D27-'Проверочная  таблица'!C37</f>
        <v>0</v>
      </c>
      <c r="E28" s="359">
        <f>E27-'Нераспределенная  дотация'!E22</f>
        <v>-9.5367431640625E-7</v>
      </c>
    </row>
  </sheetData>
  <mergeCells count="2">
    <mergeCell ref="A2:E2"/>
    <mergeCell ref="A3:E3"/>
  </mergeCells>
  <phoneticPr fontId="57" type="noConversion"/>
  <pageMargins left="0.78740157480314965" right="0.39370078740157483" top="0.78740157480314965" bottom="0.78740157480314965" header="0.51181102362204722" footer="0.51181102362204722"/>
  <pageSetup paperSize="9" scale="94" orientation="landscape" r:id="rId1"/>
  <headerFooter alignWithMargins="0">
    <oddFooter>&amp;R&amp;Z&amp;F&amp;A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23</vt:i4>
      </vt:variant>
    </vt:vector>
  </HeadingPairs>
  <TitlesOfParts>
    <vt:vector size="38" baseType="lpstr">
      <vt:lpstr>Проверочная  таблица</vt:lpstr>
      <vt:lpstr>Прочая  субсидия_МР  и  ГО</vt:lpstr>
      <vt:lpstr>Прочая  субсидия_БП</vt:lpstr>
      <vt:lpstr>Субвенция  на  полномочия</vt:lpstr>
      <vt:lpstr>Район  и  поселения</vt:lpstr>
      <vt:lpstr>Федеральные  средства  по  МО</vt:lpstr>
      <vt:lpstr>Федеральные  средства</vt:lpstr>
      <vt:lpstr>МБТ  по  программам</vt:lpstr>
      <vt:lpstr>МБТ  по  видам  расходов</vt:lpstr>
      <vt:lpstr>Нераспределенная  дотация</vt:lpstr>
      <vt:lpstr>Субсидия</vt:lpstr>
      <vt:lpstr>субсидия  ВР 522</vt:lpstr>
      <vt:lpstr>Нераспределенная  субвенция</vt:lpstr>
      <vt:lpstr>Нераспределенные  иные  МБТ</vt:lpstr>
      <vt:lpstr>Федеральная  субсидия</vt:lpstr>
      <vt:lpstr>'Нераспределенные  иные  МБТ'!Заголовки_для_печати</vt:lpstr>
      <vt:lpstr>'Проверочная  таблица'!Заголовки_для_печати</vt:lpstr>
      <vt:lpstr>'Прочая  субсидия_БП'!Заголовки_для_печати</vt:lpstr>
      <vt:lpstr>'Прочая  субсидия_МР  и  ГО'!Заголовки_для_печати</vt:lpstr>
      <vt:lpstr>'Район  и  поселения'!Заголовки_для_печати</vt:lpstr>
      <vt:lpstr>'Субвенция  на  полномочия'!Заголовки_для_печати</vt:lpstr>
      <vt:lpstr>Субсидия!Заголовки_для_печати</vt:lpstr>
      <vt:lpstr>'субсидия  ВР 522'!Заголовки_для_печати</vt:lpstr>
      <vt:lpstr>'Федеральная  субсидия'!Заголовки_для_печати</vt:lpstr>
      <vt:lpstr>'Федеральные  средства'!Заголовки_для_печати</vt:lpstr>
      <vt:lpstr>'Федеральные  средства  по  МО'!Заголовки_для_печати</vt:lpstr>
      <vt:lpstr>'МБТ  по  видам  расходов'!Область_печати</vt:lpstr>
      <vt:lpstr>'МБТ  по  программам'!Область_печати</vt:lpstr>
      <vt:lpstr>'Нераспределенная  дотация'!Область_печати</vt:lpstr>
      <vt:lpstr>'Нераспределенная  субвенция'!Область_печати</vt:lpstr>
      <vt:lpstr>'Нераспределенные  иные  МБТ'!Область_печати</vt:lpstr>
      <vt:lpstr>'Проверочная  таблица'!Область_печати</vt:lpstr>
      <vt:lpstr>'Прочая  субсидия_БП'!Область_печати</vt:lpstr>
      <vt:lpstr>'Прочая  субсидия_МР  и  ГО'!Область_печати</vt:lpstr>
      <vt:lpstr>'Район  и  поселения'!Область_печати</vt:lpstr>
      <vt:lpstr>'Субвенция  на  полномочия'!Область_печати</vt:lpstr>
      <vt:lpstr>Субсидия!Область_печати</vt:lpstr>
      <vt:lpstr>'Федеральные  средства  по  МО'!Область_печати</vt:lpstr>
    </vt:vector>
  </TitlesOfParts>
  <Company>2</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Кривовицина Елена Викторовна</cp:lastModifiedBy>
  <cp:lastPrinted>2021-10-04T12:18:59Z</cp:lastPrinted>
  <dcterms:created xsi:type="dcterms:W3CDTF">2010-07-21T14:31:06Z</dcterms:created>
  <dcterms:modified xsi:type="dcterms:W3CDTF">2021-10-13T12:53:35Z</dcterms:modified>
</cp:coreProperties>
</file>